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rçlar" state="visible" r:id="rId4"/>
    <sheet sheetId="2" name="Ödeme Planı" state="visible" r:id="rId5"/>
    <sheet sheetId="3" name="Özet" state="visible" r:id="rId6"/>
    <sheet sheetId="4" name="Nasıl Kullanılır" state="visible" r:id="rId7"/>
  </sheets>
  <calcPr calcId="171027" fullCalcOnLoad="1"/>
</workbook>
</file>

<file path=xl/sharedStrings.xml><?xml version="1.0" encoding="utf-8"?>
<sst xmlns="http://schemas.openxmlformats.org/spreadsheetml/2006/main" count="69" uniqueCount="58">
  <si>
    <t>Borç / Alacaklı</t>
  </si>
  <si>
    <t>Tür</t>
  </si>
  <si>
    <t>Kalan borç</t>
  </si>
  <si>
    <t>Aylık faiz % (vergi dahil)</t>
  </si>
  <si>
    <t>Aylık ödeme (asgari / taksit)</t>
  </si>
  <si>
    <t>Son ödeme günü</t>
  </si>
  <si>
    <t>Kalan taksit</t>
  </si>
  <si>
    <t>Bu ay faize giden</t>
  </si>
  <si>
    <t>Bu ay anaparaya giden</t>
  </si>
  <si>
    <t>Bu ödemeyle kaç ayda biter</t>
  </si>
  <si>
    <t>Çığ sırası</t>
  </si>
  <si>
    <t>Kredi kartı A</t>
  </si>
  <si>
    <t>Kredi kartı</t>
  </si>
  <si>
    <t>Kredi kartı B</t>
  </si>
  <si>
    <t>İhtiyaç kredisi</t>
  </si>
  <si>
    <t>Telefon taksiti</t>
  </si>
  <si>
    <t>Taksit</t>
  </si>
  <si>
    <t>Emre (elden borç)</t>
  </si>
  <si>
    <t>Kişisel borç</t>
  </si>
  <si>
    <t>Sarı hücreleri sen doldurursun, gri ve yeşil hücreler otomatik hesaplanır. Faizsiz borçlara (taksit, elden borç) faiz olarak 0 yaz. Borç bitince kalan borcu 0 yap; satır sıralamadan çıkar.</t>
  </si>
  <si>
    <t>Ödeme Planı — tek borç için ay ay</t>
  </si>
  <si>
    <t>B3’ten borcu seç (listeden). Ek ödeme yazınca kaç ay erken bittiğini ve ne kadar faiz kazandığını gör.</t>
  </si>
  <si>
    <t>Borç</t>
  </si>
  <si>
    <t>Kaç ayda biter</t>
  </si>
  <si>
    <t>Son ödeme ayı</t>
  </si>
  <si>
    <t>Aylık faiz %</t>
  </si>
  <si>
    <t>Toplam faiz</t>
  </si>
  <si>
    <t>Aylık ödeme</t>
  </si>
  <si>
    <t>Toplam ödeme</t>
  </si>
  <si>
    <t>Ek ödeme (her ay)</t>
  </si>
  <si>
    <t>Ek ödemesiz kaç ay</t>
  </si>
  <si>
    <t>Başlangıç ayı</t>
  </si>
  <si>
    <t>Ay no</t>
  </si>
  <si>
    <t>Ay</t>
  </si>
  <si>
    <t>Dönem başı borç</t>
  </si>
  <si>
    <t>Faiz</t>
  </si>
  <si>
    <t>Ödeme</t>
  </si>
  <si>
    <t>Anaparaya</t>
  </si>
  <si>
    <t>Dönem sonu borç</t>
  </si>
  <si>
    <t>Borç Özeti</t>
  </si>
  <si>
    <t>Toplam borç</t>
  </si>
  <si>
    <t>Toplam aylık ödeme</t>
  </si>
  <si>
    <t>Ortalama aylık faiz (borca göre ağırlıklı)</t>
  </si>
  <si>
    <t>Aylık net gelirin (kendin yaz)</t>
  </si>
  <si>
    <t>Borç ödemesinin gelire oranı</t>
  </si>
  <si>
    <t>Çığ yöntemi: önce en yüksek faizli borç</t>
  </si>
  <si>
    <t>Her borcun aylık ödemesini yap; artan her lirayı 1. sıradaki borca yatır. O bitince ödemesini 2. sıradakine ekle.</t>
  </si>
  <si>
    <t>Sıra</t>
  </si>
  <si>
    <t>Borç Takip Tablosu — Nasıl Kullanılır?</t>
  </si>
  <si>
    <t/>
  </si>
  <si>
    <t>1. Borçlar sayfası: Her borcu bir satıra yaz. Kalan borcu ekstreden ya da banka uygulamasından al; aylık faizi vergi dahil gir (kredi kartında faize vergiler eklenir).</t>
  </si>
  <si>
    <t>2. Aylık ödeme: Kredi kartında asgari tutarı değil, her ay gerçekten ödeyeceğin sabit tutarı yaz. Kredi ve taksitte taksit tutarını yaz.</t>
  </si>
  <si>
    <t>3. "Ödeme faizi karşılamıyor!" uyarısı görürsen o borç her ay büyüyor demektir: önce bu satıra odaklan.</t>
  </si>
  <si>
    <t>4. Ödeme Planı sayfası: B3’ten borcu seç. Ek ödeme hücresine tutar yaz, bitiş ayını ve toplam faizi karşılaştır.</t>
  </si>
  <si>
    <t>5. Özet sayfası: Toplam borç, aylık ödeme yükü ve çığ yöntemine göre ödeme sırası. Her ay kalan borçları güncelle, sıra kendini yeniler.</t>
  </si>
  <si>
    <t>Hesaplar tahminidir: banka faizi gün bazında işletebilir, taksitli işlemler ve ücretler sonucu birkaç lira değiştirebilir.</t>
  </si>
  <si>
    <t>Formüller Excel, LibreOffice ve Google E-Tablolar ile çalışır. Türkçe ayarlı programlarda formüller noktalı virgülle (;) görünür, bu normaldir.</t>
  </si>
  <si>
    <t>Borçları ve vade hatırlatmalarını telefonda tutmak için: kisiselmuhasebe.com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</si>
</sst>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 &quot;₺&quot;;[Red]-#,##0.00 &quot;₺&quot;"/>
    <numFmt numFmtId="165" formatCode="0 &quot;ay&quot;"/>
    <numFmt numFmtId="166" formatCode="mmmm yyyy"/>
    <numFmt numFmtId="167" formatCode="0.0%"/>
  </numFmts>
  <fonts count="7" x14ac:knownFonts="1">
    <font>
      <color theme="1"/>
      <family val="2"/>
      <scheme val="minor"/>
      <sz val="11"/>
      <name val="Calibri"/>
    </font>
    <font>
      <b/>
      <color rgb="FFFFFFFF"/>
    </font>
    <font>
      <b/>
      <color rgb="FF064E3B"/>
    </font>
    <font>
      <i/>
      <color rgb="FF475569"/>
      <sz val="10"/>
    </font>
    <font>
      <b/>
      <color rgb="FF064E3B"/>
      <sz val="14"/>
    </font>
    <font>
      <b/>
    </font>
    <font>
      <b/>
      <color rgb="FF064E3B"/>
      <sz val="12"/>
    </font>
  </fonts>
  <fills count="6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FFFBEB"/>
      </patternFill>
    </fill>
    <fill>
      <patternFill patternType="solid">
        <fgColor rgb="FFF1F5F9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10" fontId="0" fillId="3" borderId="1" xfId="0" applyNumberFormat="1" applyFill="1" applyBorder="1"/>
    <xf numFmtId="1" fontId="0" fillId="3" borderId="1" xfId="0" applyNumberFormat="1" applyFill="1" applyBorder="1" applyAlignment="1">
      <alignment horizontal="center"/>
    </xf>
    <xf numFmtId="164" fontId="0" fillId="4" borderId="1" xfId="0" applyNumberFormat="1" applyFill="1" applyBorder="1"/>
    <xf numFmtId="165" fontId="0" fillId="4" borderId="1" xfId="0" applyNumberFormat="1" applyFill="1" applyBorder="1" applyAlignment="1">
      <alignment horizontal="center"/>
    </xf>
    <xf numFmtId="1" fontId="2" fillId="5" borderId="1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3" borderId="1" xfId="0" applyFont="1" applyFill="1" applyBorder="1"/>
    <xf numFmtId="165" fontId="2" fillId="5" borderId="1" xfId="0" applyNumberFormat="1" applyFont="1" applyFill="1" applyBorder="1"/>
    <xf numFmtId="0" fontId="0" fillId="0" borderId="1" xfId="0" applyBorder="1"/>
    <xf numFmtId="166" fontId="0" fillId="4" borderId="1" xfId="0" applyNumberFormat="1" applyFill="1" applyBorder="1"/>
    <xf numFmtId="10" fontId="0" fillId="4" borderId="1" xfId="0" applyNumberFormat="1" applyFill="1" applyBorder="1"/>
    <xf numFmtId="164" fontId="2" fillId="5" borderId="1" xfId="0" applyNumberFormat="1" applyFont="1" applyFill="1" applyBorder="1"/>
    <xf numFmtId="165" fontId="0" fillId="4" borderId="1" xfId="0" applyNumberFormat="1" applyFill="1" applyBorder="1"/>
    <xf numFmtId="166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167" fontId="2" fillId="5" borderId="1" xfId="0" applyNumberFormat="1" applyFont="1" applyFill="1" applyBorder="1"/>
    <xf numFmtId="0" fontId="6" fillId="0" borderId="0" xfId="0" applyFont="1"/>
    <xf numFmtId="0" fontId="5" fillId="4" borderId="1" xfId="0" applyFont="1" applyFill="1" applyBorder="1"/>
    <xf numFmtId="0" fontId="0" fillId="4" borderId="1" xfId="0" applyFill="1" applyBorder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</sheetPr>
  <dimension ref="A1:K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7" customWidth="1"/>
    <col min="3" max="3" width="16" customWidth="1"/>
    <col min="4" max="4" width="12" customWidth="1"/>
    <col min="5" max="5" width="15" customWidth="1"/>
    <col min="6" max="6" width="11" customWidth="1"/>
    <col min="7" max="7" width="10" customWidth="1"/>
    <col min="8" max="8" width="14" customWidth="1"/>
    <col min="9" max="9" width="15" customWidth="1"/>
    <col min="10" max="10" width="22" customWidth="1"/>
    <col min="11" max="11" width="1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>
        <v>38500</v>
      </c>
      <c r="D2" s="4">
        <v>0.0425</v>
      </c>
      <c r="E2" s="3">
        <v>6000</v>
      </c>
      <c r="F2" s="5">
        <v>15</v>
      </c>
      <c r="G2" s="5"/>
      <c r="H2" s="6">
        <f>IF(A2="","",ROUND(N(C2)*N(D2),2))</f>
        <v>1636.25</v>
      </c>
      <c r="I2" s="6">
        <f>IF(A2="","",N(E2)-H2)</f>
        <v>4363.75</v>
      </c>
      <c r="J2" s="7">
        <f>IF(OR(A2="",N(C2)&lt;=0,N(E2)&lt;=0),"",IF(E2&lt;=H2,"Ödeme faizi karşılamıyor!",IF(N(D2)=0,ROUNDUP(C2/E2,0),ROUNDUP(NPER(D2,-E2,C2),0))))</f>
        <v>8</v>
      </c>
      <c r="K2" s="8">
        <f>IF(OR(A2="",N(C2)&lt;=0),"",COUNTIFS($C$2:$C$16,"&gt;0",$D$2:$D$16,"&gt;"&amp;N(D2))+COUNTIFS($C$2:C2,"&gt;0",$D$2:D2,N(D2)))</f>
        <v>1</v>
      </c>
    </row>
    <row r="3" spans="1:11" x14ac:dyDescent="0.25">
      <c r="A3" s="2" t="s">
        <v>13</v>
      </c>
      <c r="B3" s="2" t="s">
        <v>12</v>
      </c>
      <c r="C3" s="3">
        <v>12800</v>
      </c>
      <c r="D3" s="4">
        <v>0.039</v>
      </c>
      <c r="E3" s="3">
        <v>2500</v>
      </c>
      <c r="F3" s="5">
        <v>22</v>
      </c>
      <c r="G3" s="5"/>
      <c r="H3" s="6">
        <f>IF(A3="","",ROUND(N(C3)*N(D3),2))</f>
        <v>499.2</v>
      </c>
      <c r="I3" s="6">
        <f>IF(A3="","",N(E3)-H3)</f>
        <v>2000.8</v>
      </c>
      <c r="J3" s="7">
        <f>IF(OR(A3="",N(C3)&lt;=0,N(E3)&lt;=0),"",IF(E3&lt;=H3,"Ödeme faizi karşılamıyor!",IF(N(D3)=0,ROUNDUP(C3/E3,0),ROUNDUP(NPER(D3,-E3,C3),0))))</f>
        <v>6</v>
      </c>
      <c r="K3" s="8">
        <f>IF(OR(A3="",N(C3)&lt;=0),"",COUNTIFS($C$2:$C$16,"&gt;0",$D$2:$D$16,"&gt;"&amp;N(D3))+COUNTIFS($C$2:C3,"&gt;0",$D$2:D3,N(D3)))</f>
        <v>2</v>
      </c>
    </row>
    <row r="4" spans="1:11" x14ac:dyDescent="0.25">
      <c r="A4" s="2" t="s">
        <v>14</v>
      </c>
      <c r="B4" s="2" t="s">
        <v>14</v>
      </c>
      <c r="C4" s="3">
        <v>96000</v>
      </c>
      <c r="D4" s="4">
        <v>0.031</v>
      </c>
      <c r="E4" s="3">
        <v>6520</v>
      </c>
      <c r="F4" s="5">
        <v>5</v>
      </c>
      <c r="G4" s="5">
        <v>20</v>
      </c>
      <c r="H4" s="6">
        <f>IF(A4="","",ROUND(N(C4)*N(D4),2))</f>
        <v>2976</v>
      </c>
      <c r="I4" s="6">
        <f>IF(A4="","",N(E4)-H4)</f>
        <v>3544</v>
      </c>
      <c r="J4" s="7">
        <f>IF(OR(A4="",N(C4)&lt;=0,N(E4)&lt;=0),"",IF(E4&lt;=H4,"Ödeme faizi karşılamıyor!",IF(N(D4)=0,ROUNDUP(C4/E4,0),ROUNDUP(NPER(D4,-E4,C4),0))))</f>
        <v>20</v>
      </c>
      <c r="K4" s="8">
        <f>IF(OR(A4="",N(C4)&lt;=0),"",COUNTIFS($C$2:$C$16,"&gt;0",$D$2:$D$16,"&gt;"&amp;N(D4))+COUNTIFS($C$2:C4,"&gt;0",$D$2:D4,N(D4)))</f>
        <v>3</v>
      </c>
    </row>
    <row r="5" spans="1:11" x14ac:dyDescent="0.25">
      <c r="A5" s="2" t="s">
        <v>15</v>
      </c>
      <c r="B5" s="2" t="s">
        <v>16</v>
      </c>
      <c r="C5" s="3">
        <v>14400</v>
      </c>
      <c r="D5" s="4">
        <v>0</v>
      </c>
      <c r="E5" s="3">
        <v>2400</v>
      </c>
      <c r="F5" s="5">
        <v>10</v>
      </c>
      <c r="G5" s="5">
        <v>6</v>
      </c>
      <c r="H5" s="6">
        <f>IF(A5="","",ROUND(N(C5)*N(D5),2))</f>
        <v>0</v>
      </c>
      <c r="I5" s="6">
        <f>IF(A5="","",N(E5)-H5)</f>
        <v>2400</v>
      </c>
      <c r="J5" s="7">
        <f>IF(OR(A5="",N(C5)&lt;=0,N(E5)&lt;=0),"",IF(E5&lt;=H5,"Ödeme faizi karşılamıyor!",IF(N(D5)=0,ROUNDUP(C5/E5,0),ROUNDUP(NPER(D5,-E5,C5),0))))</f>
        <v>6</v>
      </c>
      <c r="K5" s="8">
        <f>IF(OR(A5="",N(C5)&lt;=0),"",COUNTIFS($C$2:$C$16,"&gt;0",$D$2:$D$16,"&gt;"&amp;N(D5))+COUNTIFS($C$2:C5,"&gt;0",$D$2:D5,N(D5)))</f>
        <v>4</v>
      </c>
    </row>
    <row r="6" spans="1:11" x14ac:dyDescent="0.25">
      <c r="A6" s="2" t="s">
        <v>17</v>
      </c>
      <c r="B6" s="2" t="s">
        <v>18</v>
      </c>
      <c r="C6" s="3">
        <v>10000</v>
      </c>
      <c r="D6" s="4">
        <v>0</v>
      </c>
      <c r="E6" s="3">
        <v>1000</v>
      </c>
      <c r="F6" s="5">
        <v>1</v>
      </c>
      <c r="G6" s="5">
        <v>10</v>
      </c>
      <c r="H6" s="6">
        <f>IF(A6="","",ROUND(N(C6)*N(D6),2))</f>
        <v>0</v>
      </c>
      <c r="I6" s="6">
        <f>IF(A6="","",N(E6)-H6)</f>
        <v>1000</v>
      </c>
      <c r="J6" s="7">
        <f>IF(OR(A6="",N(C6)&lt;=0,N(E6)&lt;=0),"",IF(E6&lt;=H6,"Ödeme faizi karşılamıyor!",IF(N(D6)=0,ROUNDUP(C6/E6,0),ROUNDUP(NPER(D6,-E6,C6),0))))</f>
        <v>10</v>
      </c>
      <c r="K6" s="8">
        <f>IF(OR(A6="",N(C6)&lt;=0),"",COUNTIFS($C$2:$C$16,"&gt;0",$D$2:$D$16,"&gt;"&amp;N(D6))+COUNTIFS($C$2:C6,"&gt;0",$D$2:D6,N(D6)))</f>
        <v>5</v>
      </c>
    </row>
    <row r="7" spans="1:11" x14ac:dyDescent="0.25">
      <c r="A7" s="2"/>
      <c r="B7" s="2"/>
      <c r="C7" s="3"/>
      <c r="D7" s="4"/>
      <c r="E7" s="3"/>
      <c r="F7" s="5"/>
      <c r="G7" s="5"/>
      <c r="H7" s="6" t="str">
        <f>IF(A7="","",ROUND(N(C7)*N(D7),2))</f>
        <v/>
      </c>
      <c r="I7" s="6" t="str">
        <f>IF(A7="","",N(E7)-H7)</f>
        <v/>
      </c>
      <c r="J7" s="7" t="str">
        <f>IF(OR(A7="",N(C7)&lt;=0,N(E7)&lt;=0),"",IF(E7&lt;=H7,"Ödeme faizi karşılamıyor!",IF(N(D7)=0,ROUNDUP(C7/E7,0),ROUNDUP(NPER(D7,-E7,C7),0))))</f>
        <v/>
      </c>
      <c r="K7" s="8" t="str">
        <f>IF(OR(A7="",N(C7)&lt;=0),"",COUNTIFS($C$2:$C$16,"&gt;0",$D$2:$D$16,"&gt;"&amp;N(D7))+COUNTIFS($C$2:C7,"&gt;0",$D$2:D7,N(D7)))</f>
        <v/>
      </c>
    </row>
    <row r="8" spans="1:11" x14ac:dyDescent="0.25">
      <c r="A8" s="2"/>
      <c r="B8" s="2"/>
      <c r="C8" s="3"/>
      <c r="D8" s="4"/>
      <c r="E8" s="3"/>
      <c r="F8" s="5"/>
      <c r="G8" s="5"/>
      <c r="H8" s="6" t="str">
        <f>IF(A8="","",ROUND(N(C8)*N(D8),2))</f>
        <v/>
      </c>
      <c r="I8" s="6" t="str">
        <f>IF(A8="","",N(E8)-H8)</f>
        <v/>
      </c>
      <c r="J8" s="7" t="str">
        <f>IF(OR(A8="",N(C8)&lt;=0,N(E8)&lt;=0),"",IF(E8&lt;=H8,"Ödeme faizi karşılamıyor!",IF(N(D8)=0,ROUNDUP(C8/E8,0),ROUNDUP(NPER(D8,-E8,C8),0))))</f>
        <v/>
      </c>
      <c r="K8" s="8" t="str">
        <f>IF(OR(A8="",N(C8)&lt;=0),"",COUNTIFS($C$2:$C$16,"&gt;0",$D$2:$D$16,"&gt;"&amp;N(D8))+COUNTIFS($C$2:C8,"&gt;0",$D$2:D8,N(D8)))</f>
        <v/>
      </c>
    </row>
    <row r="9" spans="1:11" x14ac:dyDescent="0.25">
      <c r="A9" s="2"/>
      <c r="B9" s="2"/>
      <c r="C9" s="3"/>
      <c r="D9" s="4"/>
      <c r="E9" s="3"/>
      <c r="F9" s="5"/>
      <c r="G9" s="5"/>
      <c r="H9" s="6" t="str">
        <f>IF(A9="","",ROUND(N(C9)*N(D9),2))</f>
        <v/>
      </c>
      <c r="I9" s="6" t="str">
        <f>IF(A9="","",N(E9)-H9)</f>
        <v/>
      </c>
      <c r="J9" s="7" t="str">
        <f>IF(OR(A9="",N(C9)&lt;=0,N(E9)&lt;=0),"",IF(E9&lt;=H9,"Ödeme faizi karşılamıyor!",IF(N(D9)=0,ROUNDUP(C9/E9,0),ROUNDUP(NPER(D9,-E9,C9),0))))</f>
        <v/>
      </c>
      <c r="K9" s="8" t="str">
        <f>IF(OR(A9="",N(C9)&lt;=0),"",COUNTIFS($C$2:$C$16,"&gt;0",$D$2:$D$16,"&gt;"&amp;N(D9))+COUNTIFS($C$2:C9,"&gt;0",$D$2:D9,N(D9)))</f>
        <v/>
      </c>
    </row>
    <row r="10" spans="1:11" x14ac:dyDescent="0.25">
      <c r="A10" s="2"/>
      <c r="B10" s="2"/>
      <c r="C10" s="3"/>
      <c r="D10" s="4"/>
      <c r="E10" s="3"/>
      <c r="F10" s="5"/>
      <c r="G10" s="5"/>
      <c r="H10" s="6" t="str">
        <f>IF(A10="","",ROUND(N(C10)*N(D10),2))</f>
        <v/>
      </c>
      <c r="I10" s="6" t="str">
        <f>IF(A10="","",N(E10)-H10)</f>
        <v/>
      </c>
      <c r="J10" s="7" t="str">
        <f>IF(OR(A10="",N(C10)&lt;=0,N(E10)&lt;=0),"",IF(E10&lt;=H10,"Ödeme faizi karşılamıyor!",IF(N(D10)=0,ROUNDUP(C10/E10,0),ROUNDUP(NPER(D10,-E10,C10),0))))</f>
        <v/>
      </c>
      <c r="K10" s="8" t="str">
        <f>IF(OR(A10="",N(C10)&lt;=0),"",COUNTIFS($C$2:$C$16,"&gt;0",$D$2:$D$16,"&gt;"&amp;N(D10))+COUNTIFS($C$2:C10,"&gt;0",$D$2:D10,N(D10)))</f>
        <v/>
      </c>
    </row>
    <row r="11" spans="1:11" x14ac:dyDescent="0.25">
      <c r="A11" s="2"/>
      <c r="B11" s="2"/>
      <c r="C11" s="3"/>
      <c r="D11" s="4"/>
      <c r="E11" s="3"/>
      <c r="F11" s="5"/>
      <c r="G11" s="5"/>
      <c r="H11" s="6" t="str">
        <f>IF(A11="","",ROUND(N(C11)*N(D11),2))</f>
        <v/>
      </c>
      <c r="I11" s="6" t="str">
        <f>IF(A11="","",N(E11)-H11)</f>
        <v/>
      </c>
      <c r="J11" s="7" t="str">
        <f>IF(OR(A11="",N(C11)&lt;=0,N(E11)&lt;=0),"",IF(E11&lt;=H11,"Ödeme faizi karşılamıyor!",IF(N(D11)=0,ROUNDUP(C11/E11,0),ROUNDUP(NPER(D11,-E11,C11),0))))</f>
        <v/>
      </c>
      <c r="K11" s="8" t="str">
        <f>IF(OR(A11="",N(C11)&lt;=0),"",COUNTIFS($C$2:$C$16,"&gt;0",$D$2:$D$16,"&gt;"&amp;N(D11))+COUNTIFS($C$2:C11,"&gt;0",$D$2:D11,N(D11)))</f>
        <v/>
      </c>
    </row>
    <row r="12" spans="1:11" x14ac:dyDescent="0.25">
      <c r="A12" s="2"/>
      <c r="B12" s="2"/>
      <c r="C12" s="3"/>
      <c r="D12" s="4"/>
      <c r="E12" s="3"/>
      <c r="F12" s="5"/>
      <c r="G12" s="5"/>
      <c r="H12" s="6" t="str">
        <f>IF(A12="","",ROUND(N(C12)*N(D12),2))</f>
        <v/>
      </c>
      <c r="I12" s="6" t="str">
        <f>IF(A12="","",N(E12)-H12)</f>
        <v/>
      </c>
      <c r="J12" s="7" t="str">
        <f>IF(OR(A12="",N(C12)&lt;=0,N(E12)&lt;=0),"",IF(E12&lt;=H12,"Ödeme faizi karşılamıyor!",IF(N(D12)=0,ROUNDUP(C12/E12,0),ROUNDUP(NPER(D12,-E12,C12),0))))</f>
        <v/>
      </c>
      <c r="K12" s="8" t="str">
        <f>IF(OR(A12="",N(C12)&lt;=0),"",COUNTIFS($C$2:$C$16,"&gt;0",$D$2:$D$16,"&gt;"&amp;N(D12))+COUNTIFS($C$2:C12,"&gt;0",$D$2:D12,N(D12)))</f>
        <v/>
      </c>
    </row>
    <row r="13" spans="1:11" x14ac:dyDescent="0.25">
      <c r="A13" s="2"/>
      <c r="B13" s="2"/>
      <c r="C13" s="3"/>
      <c r="D13" s="4"/>
      <c r="E13" s="3"/>
      <c r="F13" s="5"/>
      <c r="G13" s="5"/>
      <c r="H13" s="6" t="str">
        <f>IF(A13="","",ROUND(N(C13)*N(D13),2))</f>
        <v/>
      </c>
      <c r="I13" s="6" t="str">
        <f>IF(A13="","",N(E13)-H13)</f>
        <v/>
      </c>
      <c r="J13" s="7" t="str">
        <f>IF(OR(A13="",N(C13)&lt;=0,N(E13)&lt;=0),"",IF(E13&lt;=H13,"Ödeme faizi karşılamıyor!",IF(N(D13)=0,ROUNDUP(C13/E13,0),ROUNDUP(NPER(D13,-E13,C13),0))))</f>
        <v/>
      </c>
      <c r="K13" s="8" t="str">
        <f>IF(OR(A13="",N(C13)&lt;=0),"",COUNTIFS($C$2:$C$16,"&gt;0",$D$2:$D$16,"&gt;"&amp;N(D13))+COUNTIFS($C$2:C13,"&gt;0",$D$2:D13,N(D13)))</f>
        <v/>
      </c>
    </row>
    <row r="14" spans="1:11" x14ac:dyDescent="0.25">
      <c r="A14" s="2"/>
      <c r="B14" s="2"/>
      <c r="C14" s="3"/>
      <c r="D14" s="4"/>
      <c r="E14" s="3"/>
      <c r="F14" s="5"/>
      <c r="G14" s="5"/>
      <c r="H14" s="6" t="str">
        <f>IF(A14="","",ROUND(N(C14)*N(D14),2))</f>
        <v/>
      </c>
      <c r="I14" s="6" t="str">
        <f>IF(A14="","",N(E14)-H14)</f>
        <v/>
      </c>
      <c r="J14" s="7" t="str">
        <f>IF(OR(A14="",N(C14)&lt;=0,N(E14)&lt;=0),"",IF(E14&lt;=H14,"Ödeme faizi karşılamıyor!",IF(N(D14)=0,ROUNDUP(C14/E14,0),ROUNDUP(NPER(D14,-E14,C14),0))))</f>
        <v/>
      </c>
      <c r="K14" s="8" t="str">
        <f>IF(OR(A14="",N(C14)&lt;=0),"",COUNTIFS($C$2:$C$16,"&gt;0",$D$2:$D$16,"&gt;"&amp;N(D14))+COUNTIFS($C$2:C14,"&gt;0",$D$2:D14,N(D14)))</f>
        <v/>
      </c>
    </row>
    <row r="15" spans="1:11" x14ac:dyDescent="0.25">
      <c r="A15" s="2"/>
      <c r="B15" s="2"/>
      <c r="C15" s="3"/>
      <c r="D15" s="4"/>
      <c r="E15" s="3"/>
      <c r="F15" s="5"/>
      <c r="G15" s="5"/>
      <c r="H15" s="6" t="str">
        <f>IF(A15="","",ROUND(N(C15)*N(D15),2))</f>
        <v/>
      </c>
      <c r="I15" s="6" t="str">
        <f>IF(A15="","",N(E15)-H15)</f>
        <v/>
      </c>
      <c r="J15" s="7" t="str">
        <f>IF(OR(A15="",N(C15)&lt;=0,N(E15)&lt;=0),"",IF(E15&lt;=H15,"Ödeme faizi karşılamıyor!",IF(N(D15)=0,ROUNDUP(C15/E15,0),ROUNDUP(NPER(D15,-E15,C15),0))))</f>
        <v/>
      </c>
      <c r="K15" s="8" t="str">
        <f>IF(OR(A15="",N(C15)&lt;=0),"",COUNTIFS($C$2:$C$16,"&gt;0",$D$2:$D$16,"&gt;"&amp;N(D15))+COUNTIFS($C$2:C15,"&gt;0",$D$2:D15,N(D15)))</f>
        <v/>
      </c>
    </row>
    <row r="16" spans="1:11" x14ac:dyDescent="0.25">
      <c r="A16" s="2"/>
      <c r="B16" s="2"/>
      <c r="C16" s="3"/>
      <c r="D16" s="4"/>
      <c r="E16" s="3"/>
      <c r="F16" s="5"/>
      <c r="G16" s="5"/>
      <c r="H16" s="6" t="str">
        <f>IF(A16="","",ROUND(N(C16)*N(D16),2))</f>
        <v/>
      </c>
      <c r="I16" s="6" t="str">
        <f>IF(A16="","",N(E16)-H16)</f>
        <v/>
      </c>
      <c r="J16" s="7" t="str">
        <f>IF(OR(A16="",N(C16)&lt;=0,N(E16)&lt;=0),"",IF(E16&lt;=H16,"Ödeme faizi karşılamıyor!",IF(N(D16)=0,ROUNDUP(C16/E16,0),ROUNDUP(NPER(D16,-E16,C16),0))))</f>
        <v/>
      </c>
      <c r="K16" s="8" t="str">
        <f>IF(OR(A16="",N(C16)&lt;=0),"",COUNTIFS($C$2:$C$16,"&gt;0",$D$2:$D$16,"&gt;"&amp;N(D16))+COUNTIFS($C$2:C16,"&gt;0",$D$2:D16,N(D16)))</f>
        <v/>
      </c>
    </row>
    <row r="18" spans="1:1" x14ac:dyDescent="0.25">
      <c r="A18" s="9" t="s">
        <v>19</v>
      </c>
    </row>
  </sheetData>
  <dataValidations count="1">
    <dataValidation type="list" allowBlank="1" sqref="B2:B16">
      <formula1>"Kredi kartı,İhtiyaç kredisi,Kişisel borç,Taksit,Diğer"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A5E9"/>
  </sheetPr>
  <dimension ref="A1:G131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17" customWidth="1"/>
    <col min="4" max="4" width="14" customWidth="1"/>
    <col min="5" max="6" width="15" customWidth="1"/>
    <col min="7" max="7" width="17" customWidth="1"/>
  </cols>
  <sheetData>
    <row r="1" spans="1:1" x14ac:dyDescent="0.25">
      <c r="A1" s="10" t="s">
        <v>20</v>
      </c>
    </row>
    <row r="2" spans="1:1" x14ac:dyDescent="0.25">
      <c r="A2" s="9" t="s">
        <v>21</v>
      </c>
    </row>
    <row r="3" spans="1:5" x14ac:dyDescent="0.25">
      <c r="A3" s="11" t="s">
        <v>22</v>
      </c>
      <c r="B3" s="12" t="s">
        <v>11</v>
      </c>
      <c r="D3" s="11" t="s">
        <v>23</v>
      </c>
      <c r="E3" s="13">
        <f>IF(N(B4)&lt;=0,"",IF(N(G131)&gt;0,"120 aydan uzun",MAX(A12:A131)))</f>
        <v>8</v>
      </c>
    </row>
    <row r="4" spans="1:5" x14ac:dyDescent="0.25">
      <c r="A4" s="14" t="s">
        <v>2</v>
      </c>
      <c r="B4" s="6">
        <f>IFERROR(INDEX('Borçlar'!$C$2:$C$16,MATCH($B$3,'Borçlar'!$A$2:$A$16,0)),0)</f>
        <v>38500</v>
      </c>
      <c r="D4" s="14" t="s">
        <v>24</v>
      </c>
      <c r="E4" s="15">
        <f>IF(ISNUMBER(E3),INDEX(B12:B131,E3),"")</f>
        <v>46508</v>
      </c>
    </row>
    <row r="5" spans="1:5" x14ac:dyDescent="0.25">
      <c r="A5" s="14" t="s">
        <v>25</v>
      </c>
      <c r="B5" s="16">
        <f>IFERROR(INDEX('Borçlar'!$D$2:$D$16,MATCH($B$3,'Borçlar'!$A$2:$A$16,0)),0)</f>
        <v>0.0425</v>
      </c>
      <c r="D5" s="11" t="s">
        <v>26</v>
      </c>
      <c r="E5" s="17">
        <f>SUM(D12:D131)</f>
        <v>7431.49</v>
      </c>
    </row>
    <row r="6" spans="1:5" x14ac:dyDescent="0.25">
      <c r="A6" s="14" t="s">
        <v>27</v>
      </c>
      <c r="B6" s="6">
        <f>IFERROR(INDEX('Borçlar'!$E$2:$E$16,MATCH($B$3,'Borçlar'!$A$2:$A$16,0)),0)</f>
        <v>6000</v>
      </c>
      <c r="D6" s="14" t="s">
        <v>28</v>
      </c>
      <c r="E6" s="6">
        <f>SUM(E12:E131)</f>
        <v>45931.49</v>
      </c>
    </row>
    <row r="7" spans="1:5" x14ac:dyDescent="0.25">
      <c r="A7" s="11" t="s">
        <v>29</v>
      </c>
      <c r="B7" s="3">
        <v>0</v>
      </c>
      <c r="D7" s="14" t="s">
        <v>30</v>
      </c>
      <c r="E7" s="18">
        <f>IF(OR(N(B4)&lt;=0,N(B6)&lt;=ROUND(B4*B5,2)),"",IF(N(B5)=0,ROUNDUP(B4/B6,0),ROUNDUP(NPER(B5,-B6,B4),0)))</f>
        <v>8</v>
      </c>
    </row>
    <row r="8" spans="1:2" x14ac:dyDescent="0.25">
      <c r="A8" s="14" t="s">
        <v>31</v>
      </c>
      <c r="B8" s="19">
        <v>46296</v>
      </c>
    </row>
    <row r="11" spans="1:7" x14ac:dyDescent="0.25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36</v>
      </c>
      <c r="F11" s="1" t="s">
        <v>37</v>
      </c>
      <c r="G11" s="1" t="s">
        <v>38</v>
      </c>
    </row>
    <row r="12" spans="1:7" x14ac:dyDescent="0.25">
      <c r="A12" s="20">
        <f>IF(N($B$4)&lt;=0,"",1)</f>
        <v>1</v>
      </c>
      <c r="B12" s="15">
        <f>IF(A12="","",EDATE($B$8,A12-1))</f>
        <v>46296</v>
      </c>
      <c r="C12" s="6">
        <f>IF(A12="","",$B$4)</f>
        <v>38500</v>
      </c>
      <c r="D12" s="6">
        <f>IF(A12="","",ROUND(C12*$B$5,2))</f>
        <v>1636.25</v>
      </c>
      <c r="E12" s="6">
        <f>IF(A12="","",MIN($B$6+$B$7,C12+D12))</f>
        <v>6000</v>
      </c>
      <c r="F12" s="6">
        <f>IF(A12="","",E12-D12)</f>
        <v>4363.75</v>
      </c>
      <c r="G12" s="17">
        <f>IF(A12="","",ROUND(C12+D12-E12,2))</f>
        <v>34136.25</v>
      </c>
    </row>
    <row r="13" spans="1:7" x14ac:dyDescent="0.25">
      <c r="A13" s="20">
        <f>IF(A12="","",IF(N(G12)&lt;=0,"",A12+1))</f>
        <v>2</v>
      </c>
      <c r="B13" s="15">
        <f>IF(A13="","",EDATE($B$8,A13-1))</f>
        <v>46327</v>
      </c>
      <c r="C13" s="6">
        <f>IF(A13="","",G12)</f>
        <v>34136.25</v>
      </c>
      <c r="D13" s="6">
        <f>IF(A13="","",ROUND(C13*$B$5,2))</f>
        <v>1450.79</v>
      </c>
      <c r="E13" s="6">
        <f>IF(A13="","",MIN($B$6+$B$7,C13+D13))</f>
        <v>6000</v>
      </c>
      <c r="F13" s="6">
        <f>IF(A13="","",E13-D13)</f>
        <v>4549.21</v>
      </c>
      <c r="G13" s="17">
        <f>IF(A13="","",ROUND(C13+D13-E13,2))</f>
        <v>29587.04</v>
      </c>
    </row>
    <row r="14" spans="1:7" x14ac:dyDescent="0.25">
      <c r="A14" s="20">
        <f>IF(A13="","",IF(N(G13)&lt;=0,"",A13+1))</f>
        <v>3</v>
      </c>
      <c r="B14" s="15">
        <f>IF(A14="","",EDATE($B$8,A14-1))</f>
        <v>46357</v>
      </c>
      <c r="C14" s="6">
        <f>IF(A14="","",G13)</f>
        <v>29587.04</v>
      </c>
      <c r="D14" s="6">
        <f>IF(A14="","",ROUND(C14*$B$5,2))</f>
        <v>1257.45</v>
      </c>
      <c r="E14" s="6">
        <f>IF(A14="","",MIN($B$6+$B$7,C14+D14))</f>
        <v>6000</v>
      </c>
      <c r="F14" s="6">
        <f>IF(A14="","",E14-D14)</f>
        <v>4742.55</v>
      </c>
      <c r="G14" s="17">
        <f>IF(A14="","",ROUND(C14+D14-E14,2))</f>
        <v>24844.49</v>
      </c>
    </row>
    <row r="15" spans="1:7" x14ac:dyDescent="0.25">
      <c r="A15" s="20">
        <f>IF(A14="","",IF(N(G14)&lt;=0,"",A14+1))</f>
        <v>4</v>
      </c>
      <c r="B15" s="15">
        <f>IF(A15="","",EDATE($B$8,A15-1))</f>
        <v>46388</v>
      </c>
      <c r="C15" s="6">
        <f>IF(A15="","",G14)</f>
        <v>24844.49</v>
      </c>
      <c r="D15" s="6">
        <f>IF(A15="","",ROUND(C15*$B$5,2))</f>
        <v>1055.89</v>
      </c>
      <c r="E15" s="6">
        <f>IF(A15="","",MIN($B$6+$B$7,C15+D15))</f>
        <v>6000</v>
      </c>
      <c r="F15" s="6">
        <f>IF(A15="","",E15-D15)</f>
        <v>4944.11</v>
      </c>
      <c r="G15" s="17">
        <f>IF(A15="","",ROUND(C15+D15-E15,2))</f>
        <v>19900.38</v>
      </c>
    </row>
    <row r="16" spans="1:7" x14ac:dyDescent="0.25">
      <c r="A16" s="20">
        <f>IF(A15="","",IF(N(G15)&lt;=0,"",A15+1))</f>
        <v>5</v>
      </c>
      <c r="B16" s="15">
        <f>IF(A16="","",EDATE($B$8,A16-1))</f>
        <v>46419</v>
      </c>
      <c r="C16" s="6">
        <f>IF(A16="","",G15)</f>
        <v>19900.38</v>
      </c>
      <c r="D16" s="6">
        <f>IF(A16="","",ROUND(C16*$B$5,2))</f>
        <v>845.77</v>
      </c>
      <c r="E16" s="6">
        <f>IF(A16="","",MIN($B$6+$B$7,C16+D16))</f>
        <v>6000</v>
      </c>
      <c r="F16" s="6">
        <f>IF(A16="","",E16-D16)</f>
        <v>5154.23</v>
      </c>
      <c r="G16" s="17">
        <f>IF(A16="","",ROUND(C16+D16-E16,2))</f>
        <v>14746.15</v>
      </c>
    </row>
    <row r="17" spans="1:7" x14ac:dyDescent="0.25">
      <c r="A17" s="20">
        <f>IF(A16="","",IF(N(G16)&lt;=0,"",A16+1))</f>
        <v>6</v>
      </c>
      <c r="B17" s="15">
        <f>IF(A17="","",EDATE($B$8,A17-1))</f>
        <v>46447</v>
      </c>
      <c r="C17" s="6">
        <f>IF(A17="","",G16)</f>
        <v>14746.15</v>
      </c>
      <c r="D17" s="6">
        <f>IF(A17="","",ROUND(C17*$B$5,2))</f>
        <v>626.71</v>
      </c>
      <c r="E17" s="6">
        <f>IF(A17="","",MIN($B$6+$B$7,C17+D17))</f>
        <v>6000</v>
      </c>
      <c r="F17" s="6">
        <f>IF(A17="","",E17-D17)</f>
        <v>5373.29</v>
      </c>
      <c r="G17" s="17">
        <f>IF(A17="","",ROUND(C17+D17-E17,2))</f>
        <v>9372.86</v>
      </c>
    </row>
    <row r="18" spans="1:7" x14ac:dyDescent="0.25">
      <c r="A18" s="20">
        <f>IF(A17="","",IF(N(G17)&lt;=0,"",A17+1))</f>
        <v>7</v>
      </c>
      <c r="B18" s="15">
        <f>IF(A18="","",EDATE($B$8,A18-1))</f>
        <v>46478</v>
      </c>
      <c r="C18" s="6">
        <f>IF(A18="","",G17)</f>
        <v>9372.86</v>
      </c>
      <c r="D18" s="6">
        <f>IF(A18="","",ROUND(C18*$B$5,2))</f>
        <v>398.35</v>
      </c>
      <c r="E18" s="6">
        <f>IF(A18="","",MIN($B$6+$B$7,C18+D18))</f>
        <v>6000</v>
      </c>
      <c r="F18" s="6">
        <f>IF(A18="","",E18-D18)</f>
        <v>5601.65</v>
      </c>
      <c r="G18" s="17">
        <f>IF(A18="","",ROUND(C18+D18-E18,2))</f>
        <v>3771.21</v>
      </c>
    </row>
    <row r="19" spans="1:7" x14ac:dyDescent="0.25">
      <c r="A19" s="20">
        <f>IF(A18="","",IF(N(G18)&lt;=0,"",A18+1))</f>
        <v>8</v>
      </c>
      <c r="B19" s="15">
        <f>IF(A19="","",EDATE($B$8,A19-1))</f>
        <v>46508</v>
      </c>
      <c r="C19" s="6">
        <f>IF(A19="","",G18)</f>
        <v>3771.21</v>
      </c>
      <c r="D19" s="6">
        <f>IF(A19="","",ROUND(C19*$B$5,2))</f>
        <v>160.28</v>
      </c>
      <c r="E19" s="6">
        <f>IF(A19="","",MIN($B$6+$B$7,C19+D19))</f>
        <v>3931.49</v>
      </c>
      <c r="F19" s="6">
        <f>IF(A19="","",E19-D19)</f>
        <v>3771.21</v>
      </c>
      <c r="G19" s="17">
        <f>IF(A19="","",ROUND(C19+D19-E19,2))</f>
        <v>0</v>
      </c>
    </row>
    <row r="20" spans="1:7" x14ac:dyDescent="0.25">
      <c r="A20" s="20" t="str">
        <f>IF(A19="","",IF(N(G19)&lt;=0,"",A19+1))</f>
        <v/>
      </c>
      <c r="B20" s="15" t="str">
        <f>IF(A20="","",EDATE($B$8,A20-1))</f>
        <v/>
      </c>
      <c r="C20" s="6" t="str">
        <f>IF(A20="","",G19)</f>
        <v/>
      </c>
      <c r="D20" s="6" t="str">
        <f>IF(A20="","",ROUND(C20*$B$5,2))</f>
        <v/>
      </c>
      <c r="E20" s="6" t="str">
        <f>IF(A20="","",MIN($B$6+$B$7,C20+D20))</f>
        <v/>
      </c>
      <c r="F20" s="6" t="str">
        <f>IF(A20="","",E20-D20)</f>
        <v/>
      </c>
      <c r="G20" s="17" t="str">
        <f>IF(A20="","",ROUND(C20+D20-E20,2))</f>
        <v/>
      </c>
    </row>
    <row r="21" spans="1:7" x14ac:dyDescent="0.25">
      <c r="A21" s="20" t="str">
        <f>IF(A20="","",IF(N(G20)&lt;=0,"",A20+1))</f>
        <v/>
      </c>
      <c r="B21" s="15" t="str">
        <f>IF(A21="","",EDATE($B$8,A21-1))</f>
        <v/>
      </c>
      <c r="C21" s="6" t="str">
        <f>IF(A21="","",G20)</f>
        <v/>
      </c>
      <c r="D21" s="6" t="str">
        <f>IF(A21="","",ROUND(C21*$B$5,2))</f>
        <v/>
      </c>
      <c r="E21" s="6" t="str">
        <f>IF(A21="","",MIN($B$6+$B$7,C21+D21))</f>
        <v/>
      </c>
      <c r="F21" s="6" t="str">
        <f>IF(A21="","",E21-D21)</f>
        <v/>
      </c>
      <c r="G21" s="17" t="str">
        <f>IF(A21="","",ROUND(C21+D21-E21,2))</f>
        <v/>
      </c>
    </row>
    <row r="22" spans="1:7" x14ac:dyDescent="0.25">
      <c r="A22" s="20" t="str">
        <f>IF(A21="","",IF(N(G21)&lt;=0,"",A21+1))</f>
        <v/>
      </c>
      <c r="B22" s="15" t="str">
        <f>IF(A22="","",EDATE($B$8,A22-1))</f>
        <v/>
      </c>
      <c r="C22" s="6" t="str">
        <f>IF(A22="","",G21)</f>
        <v/>
      </c>
      <c r="D22" s="6" t="str">
        <f>IF(A22="","",ROUND(C22*$B$5,2))</f>
        <v/>
      </c>
      <c r="E22" s="6" t="str">
        <f>IF(A22="","",MIN($B$6+$B$7,C22+D22))</f>
        <v/>
      </c>
      <c r="F22" s="6" t="str">
        <f>IF(A22="","",E22-D22)</f>
        <v/>
      </c>
      <c r="G22" s="17" t="str">
        <f>IF(A22="","",ROUND(C22+D22-E22,2))</f>
        <v/>
      </c>
    </row>
    <row r="23" spans="1:7" x14ac:dyDescent="0.25">
      <c r="A23" s="20" t="str">
        <f>IF(A22="","",IF(N(G22)&lt;=0,"",A22+1))</f>
        <v/>
      </c>
      <c r="B23" s="15" t="str">
        <f>IF(A23="","",EDATE($B$8,A23-1))</f>
        <v/>
      </c>
      <c r="C23" s="6" t="str">
        <f>IF(A23="","",G22)</f>
        <v/>
      </c>
      <c r="D23" s="6" t="str">
        <f>IF(A23="","",ROUND(C23*$B$5,2))</f>
        <v/>
      </c>
      <c r="E23" s="6" t="str">
        <f>IF(A23="","",MIN($B$6+$B$7,C23+D23))</f>
        <v/>
      </c>
      <c r="F23" s="6" t="str">
        <f>IF(A23="","",E23-D23)</f>
        <v/>
      </c>
      <c r="G23" s="17" t="str">
        <f>IF(A23="","",ROUND(C23+D23-E23,2))</f>
        <v/>
      </c>
    </row>
    <row r="24" spans="1:7" x14ac:dyDescent="0.25">
      <c r="A24" s="20" t="str">
        <f>IF(A23="","",IF(N(G23)&lt;=0,"",A23+1))</f>
        <v/>
      </c>
      <c r="B24" s="15" t="str">
        <f>IF(A24="","",EDATE($B$8,A24-1))</f>
        <v/>
      </c>
      <c r="C24" s="6" t="str">
        <f>IF(A24="","",G23)</f>
        <v/>
      </c>
      <c r="D24" s="6" t="str">
        <f>IF(A24="","",ROUND(C24*$B$5,2))</f>
        <v/>
      </c>
      <c r="E24" s="6" t="str">
        <f>IF(A24="","",MIN($B$6+$B$7,C24+D24))</f>
        <v/>
      </c>
      <c r="F24" s="6" t="str">
        <f>IF(A24="","",E24-D24)</f>
        <v/>
      </c>
      <c r="G24" s="17" t="str">
        <f>IF(A24="","",ROUND(C24+D24-E24,2))</f>
        <v/>
      </c>
    </row>
    <row r="25" spans="1:7" x14ac:dyDescent="0.25">
      <c r="A25" s="20" t="str">
        <f>IF(A24="","",IF(N(G24)&lt;=0,"",A24+1))</f>
        <v/>
      </c>
      <c r="B25" s="15" t="str">
        <f>IF(A25="","",EDATE($B$8,A25-1))</f>
        <v/>
      </c>
      <c r="C25" s="6" t="str">
        <f>IF(A25="","",G24)</f>
        <v/>
      </c>
      <c r="D25" s="6" t="str">
        <f>IF(A25="","",ROUND(C25*$B$5,2))</f>
        <v/>
      </c>
      <c r="E25" s="6" t="str">
        <f>IF(A25="","",MIN($B$6+$B$7,C25+D25))</f>
        <v/>
      </c>
      <c r="F25" s="6" t="str">
        <f>IF(A25="","",E25-D25)</f>
        <v/>
      </c>
      <c r="G25" s="17" t="str">
        <f>IF(A25="","",ROUND(C25+D25-E25,2))</f>
        <v/>
      </c>
    </row>
    <row r="26" spans="1:7" x14ac:dyDescent="0.25">
      <c r="A26" s="20" t="str">
        <f>IF(A25="","",IF(N(G25)&lt;=0,"",A25+1))</f>
        <v/>
      </c>
      <c r="B26" s="15" t="str">
        <f>IF(A26="","",EDATE($B$8,A26-1))</f>
        <v/>
      </c>
      <c r="C26" s="6" t="str">
        <f>IF(A26="","",G25)</f>
        <v/>
      </c>
      <c r="D26" s="6" t="str">
        <f>IF(A26="","",ROUND(C26*$B$5,2))</f>
        <v/>
      </c>
      <c r="E26" s="6" t="str">
        <f>IF(A26="","",MIN($B$6+$B$7,C26+D26))</f>
        <v/>
      </c>
      <c r="F26" s="6" t="str">
        <f>IF(A26="","",E26-D26)</f>
        <v/>
      </c>
      <c r="G26" s="17" t="str">
        <f>IF(A26="","",ROUND(C26+D26-E26,2))</f>
        <v/>
      </c>
    </row>
    <row r="27" spans="1:7" x14ac:dyDescent="0.25">
      <c r="A27" s="20" t="str">
        <f>IF(A26="","",IF(N(G26)&lt;=0,"",A26+1))</f>
        <v/>
      </c>
      <c r="B27" s="15" t="str">
        <f>IF(A27="","",EDATE($B$8,A27-1))</f>
        <v/>
      </c>
      <c r="C27" s="6" t="str">
        <f>IF(A27="","",G26)</f>
        <v/>
      </c>
      <c r="D27" s="6" t="str">
        <f>IF(A27="","",ROUND(C27*$B$5,2))</f>
        <v/>
      </c>
      <c r="E27" s="6" t="str">
        <f>IF(A27="","",MIN($B$6+$B$7,C27+D27))</f>
        <v/>
      </c>
      <c r="F27" s="6" t="str">
        <f>IF(A27="","",E27-D27)</f>
        <v/>
      </c>
      <c r="G27" s="17" t="str">
        <f>IF(A27="","",ROUND(C27+D27-E27,2))</f>
        <v/>
      </c>
    </row>
    <row r="28" spans="1:7" x14ac:dyDescent="0.25">
      <c r="A28" s="20" t="str">
        <f>IF(A27="","",IF(N(G27)&lt;=0,"",A27+1))</f>
        <v/>
      </c>
      <c r="B28" s="15" t="str">
        <f>IF(A28="","",EDATE($B$8,A28-1))</f>
        <v/>
      </c>
      <c r="C28" s="6" t="str">
        <f>IF(A28="","",G27)</f>
        <v/>
      </c>
      <c r="D28" s="6" t="str">
        <f>IF(A28="","",ROUND(C28*$B$5,2))</f>
        <v/>
      </c>
      <c r="E28" s="6" t="str">
        <f>IF(A28="","",MIN($B$6+$B$7,C28+D28))</f>
        <v/>
      </c>
      <c r="F28" s="6" t="str">
        <f>IF(A28="","",E28-D28)</f>
        <v/>
      </c>
      <c r="G28" s="17" t="str">
        <f>IF(A28="","",ROUND(C28+D28-E28,2))</f>
        <v/>
      </c>
    </row>
    <row r="29" spans="1:7" x14ac:dyDescent="0.25">
      <c r="A29" s="20" t="str">
        <f>IF(A28="","",IF(N(G28)&lt;=0,"",A28+1))</f>
        <v/>
      </c>
      <c r="B29" s="15" t="str">
        <f>IF(A29="","",EDATE($B$8,A29-1))</f>
        <v/>
      </c>
      <c r="C29" s="6" t="str">
        <f>IF(A29="","",G28)</f>
        <v/>
      </c>
      <c r="D29" s="6" t="str">
        <f>IF(A29="","",ROUND(C29*$B$5,2))</f>
        <v/>
      </c>
      <c r="E29" s="6" t="str">
        <f>IF(A29="","",MIN($B$6+$B$7,C29+D29))</f>
        <v/>
      </c>
      <c r="F29" s="6" t="str">
        <f>IF(A29="","",E29-D29)</f>
        <v/>
      </c>
      <c r="G29" s="17" t="str">
        <f>IF(A29="","",ROUND(C29+D29-E29,2))</f>
        <v/>
      </c>
    </row>
    <row r="30" spans="1:7" x14ac:dyDescent="0.25">
      <c r="A30" s="20" t="str">
        <f>IF(A29="","",IF(N(G29)&lt;=0,"",A29+1))</f>
        <v/>
      </c>
      <c r="B30" s="15" t="str">
        <f>IF(A30="","",EDATE($B$8,A30-1))</f>
        <v/>
      </c>
      <c r="C30" s="6" t="str">
        <f>IF(A30="","",G29)</f>
        <v/>
      </c>
      <c r="D30" s="6" t="str">
        <f>IF(A30="","",ROUND(C30*$B$5,2))</f>
        <v/>
      </c>
      <c r="E30" s="6" t="str">
        <f>IF(A30="","",MIN($B$6+$B$7,C30+D30))</f>
        <v/>
      </c>
      <c r="F30" s="6" t="str">
        <f>IF(A30="","",E30-D30)</f>
        <v/>
      </c>
      <c r="G30" s="17" t="str">
        <f>IF(A30="","",ROUND(C30+D30-E30,2))</f>
        <v/>
      </c>
    </row>
    <row r="31" spans="1:7" x14ac:dyDescent="0.25">
      <c r="A31" s="20" t="str">
        <f>IF(A30="","",IF(N(G30)&lt;=0,"",A30+1))</f>
        <v/>
      </c>
      <c r="B31" s="15" t="str">
        <f>IF(A31="","",EDATE($B$8,A31-1))</f>
        <v/>
      </c>
      <c r="C31" s="6" t="str">
        <f>IF(A31="","",G30)</f>
        <v/>
      </c>
      <c r="D31" s="6" t="str">
        <f>IF(A31="","",ROUND(C31*$B$5,2))</f>
        <v/>
      </c>
      <c r="E31" s="6" t="str">
        <f>IF(A31="","",MIN($B$6+$B$7,C31+D31))</f>
        <v/>
      </c>
      <c r="F31" s="6" t="str">
        <f>IF(A31="","",E31-D31)</f>
        <v/>
      </c>
      <c r="G31" s="17" t="str">
        <f>IF(A31="","",ROUND(C31+D31-E31,2))</f>
        <v/>
      </c>
    </row>
    <row r="32" spans="1:7" x14ac:dyDescent="0.25">
      <c r="A32" s="20" t="str">
        <f>IF(A31="","",IF(N(G31)&lt;=0,"",A31+1))</f>
        <v/>
      </c>
      <c r="B32" s="15" t="str">
        <f>IF(A32="","",EDATE($B$8,A32-1))</f>
        <v/>
      </c>
      <c r="C32" s="6" t="str">
        <f>IF(A32="","",G31)</f>
        <v/>
      </c>
      <c r="D32" s="6" t="str">
        <f>IF(A32="","",ROUND(C32*$B$5,2))</f>
        <v/>
      </c>
      <c r="E32" s="6" t="str">
        <f>IF(A32="","",MIN($B$6+$B$7,C32+D32))</f>
        <v/>
      </c>
      <c r="F32" s="6" t="str">
        <f>IF(A32="","",E32-D32)</f>
        <v/>
      </c>
      <c r="G32" s="17" t="str">
        <f>IF(A32="","",ROUND(C32+D32-E32,2))</f>
        <v/>
      </c>
    </row>
    <row r="33" spans="1:7" x14ac:dyDescent="0.25">
      <c r="A33" s="20" t="str">
        <f>IF(A32="","",IF(N(G32)&lt;=0,"",A32+1))</f>
        <v/>
      </c>
      <c r="B33" s="15" t="str">
        <f>IF(A33="","",EDATE($B$8,A33-1))</f>
        <v/>
      </c>
      <c r="C33" s="6" t="str">
        <f>IF(A33="","",G32)</f>
        <v/>
      </c>
      <c r="D33" s="6" t="str">
        <f>IF(A33="","",ROUND(C33*$B$5,2))</f>
        <v/>
      </c>
      <c r="E33" s="6" t="str">
        <f>IF(A33="","",MIN($B$6+$B$7,C33+D33))</f>
        <v/>
      </c>
      <c r="F33" s="6" t="str">
        <f>IF(A33="","",E33-D33)</f>
        <v/>
      </c>
      <c r="G33" s="17" t="str">
        <f>IF(A33="","",ROUND(C33+D33-E33,2))</f>
        <v/>
      </c>
    </row>
    <row r="34" spans="1:7" x14ac:dyDescent="0.25">
      <c r="A34" s="20" t="str">
        <f>IF(A33="","",IF(N(G33)&lt;=0,"",A33+1))</f>
        <v/>
      </c>
      <c r="B34" s="15" t="str">
        <f>IF(A34="","",EDATE($B$8,A34-1))</f>
        <v/>
      </c>
      <c r="C34" s="6" t="str">
        <f>IF(A34="","",G33)</f>
        <v/>
      </c>
      <c r="D34" s="6" t="str">
        <f>IF(A34="","",ROUND(C34*$B$5,2))</f>
        <v/>
      </c>
      <c r="E34" s="6" t="str">
        <f>IF(A34="","",MIN($B$6+$B$7,C34+D34))</f>
        <v/>
      </c>
      <c r="F34" s="6" t="str">
        <f>IF(A34="","",E34-D34)</f>
        <v/>
      </c>
      <c r="G34" s="17" t="str">
        <f>IF(A34="","",ROUND(C34+D34-E34,2))</f>
        <v/>
      </c>
    </row>
    <row r="35" spans="1:7" x14ac:dyDescent="0.25">
      <c r="A35" s="20" t="str">
        <f>IF(A34="","",IF(N(G34)&lt;=0,"",A34+1))</f>
        <v/>
      </c>
      <c r="B35" s="15" t="str">
        <f>IF(A35="","",EDATE($B$8,A35-1))</f>
        <v/>
      </c>
      <c r="C35" s="6" t="str">
        <f>IF(A35="","",G34)</f>
        <v/>
      </c>
      <c r="D35" s="6" t="str">
        <f>IF(A35="","",ROUND(C35*$B$5,2))</f>
        <v/>
      </c>
      <c r="E35" s="6" t="str">
        <f>IF(A35="","",MIN($B$6+$B$7,C35+D35))</f>
        <v/>
      </c>
      <c r="F35" s="6" t="str">
        <f>IF(A35="","",E35-D35)</f>
        <v/>
      </c>
      <c r="G35" s="17" t="str">
        <f>IF(A35="","",ROUND(C35+D35-E35,2))</f>
        <v/>
      </c>
    </row>
    <row r="36" spans="1:7" x14ac:dyDescent="0.25">
      <c r="A36" s="20" t="str">
        <f>IF(A35="","",IF(N(G35)&lt;=0,"",A35+1))</f>
        <v/>
      </c>
      <c r="B36" s="15" t="str">
        <f>IF(A36="","",EDATE($B$8,A36-1))</f>
        <v/>
      </c>
      <c r="C36" s="6" t="str">
        <f>IF(A36="","",G35)</f>
        <v/>
      </c>
      <c r="D36" s="6" t="str">
        <f>IF(A36="","",ROUND(C36*$B$5,2))</f>
        <v/>
      </c>
      <c r="E36" s="6" t="str">
        <f>IF(A36="","",MIN($B$6+$B$7,C36+D36))</f>
        <v/>
      </c>
      <c r="F36" s="6" t="str">
        <f>IF(A36="","",E36-D36)</f>
        <v/>
      </c>
      <c r="G36" s="17" t="str">
        <f>IF(A36="","",ROUND(C36+D36-E36,2))</f>
        <v/>
      </c>
    </row>
    <row r="37" spans="1:7" x14ac:dyDescent="0.25">
      <c r="A37" s="20" t="str">
        <f>IF(A36="","",IF(N(G36)&lt;=0,"",A36+1))</f>
        <v/>
      </c>
      <c r="B37" s="15" t="str">
        <f>IF(A37="","",EDATE($B$8,A37-1))</f>
        <v/>
      </c>
      <c r="C37" s="6" t="str">
        <f>IF(A37="","",G36)</f>
        <v/>
      </c>
      <c r="D37" s="6" t="str">
        <f>IF(A37="","",ROUND(C37*$B$5,2))</f>
        <v/>
      </c>
      <c r="E37" s="6" t="str">
        <f>IF(A37="","",MIN($B$6+$B$7,C37+D37))</f>
        <v/>
      </c>
      <c r="F37" s="6" t="str">
        <f>IF(A37="","",E37-D37)</f>
        <v/>
      </c>
      <c r="G37" s="17" t="str">
        <f>IF(A37="","",ROUND(C37+D37-E37,2))</f>
        <v/>
      </c>
    </row>
    <row r="38" spans="1:7" x14ac:dyDescent="0.25">
      <c r="A38" s="20" t="str">
        <f>IF(A37="","",IF(N(G37)&lt;=0,"",A37+1))</f>
        <v/>
      </c>
      <c r="B38" s="15" t="str">
        <f>IF(A38="","",EDATE($B$8,A38-1))</f>
        <v/>
      </c>
      <c r="C38" s="6" t="str">
        <f>IF(A38="","",G37)</f>
        <v/>
      </c>
      <c r="D38" s="6" t="str">
        <f>IF(A38="","",ROUND(C38*$B$5,2))</f>
        <v/>
      </c>
      <c r="E38" s="6" t="str">
        <f>IF(A38="","",MIN($B$6+$B$7,C38+D38))</f>
        <v/>
      </c>
      <c r="F38" s="6" t="str">
        <f>IF(A38="","",E38-D38)</f>
        <v/>
      </c>
      <c r="G38" s="17" t="str">
        <f>IF(A38="","",ROUND(C38+D38-E38,2))</f>
        <v/>
      </c>
    </row>
    <row r="39" spans="1:7" x14ac:dyDescent="0.25">
      <c r="A39" s="20" t="str">
        <f>IF(A38="","",IF(N(G38)&lt;=0,"",A38+1))</f>
        <v/>
      </c>
      <c r="B39" s="15" t="str">
        <f>IF(A39="","",EDATE($B$8,A39-1))</f>
        <v/>
      </c>
      <c r="C39" s="6" t="str">
        <f>IF(A39="","",G38)</f>
        <v/>
      </c>
      <c r="D39" s="6" t="str">
        <f>IF(A39="","",ROUND(C39*$B$5,2))</f>
        <v/>
      </c>
      <c r="E39" s="6" t="str">
        <f>IF(A39="","",MIN($B$6+$B$7,C39+D39))</f>
        <v/>
      </c>
      <c r="F39" s="6" t="str">
        <f>IF(A39="","",E39-D39)</f>
        <v/>
      </c>
      <c r="G39" s="17" t="str">
        <f>IF(A39="","",ROUND(C39+D39-E39,2))</f>
        <v/>
      </c>
    </row>
    <row r="40" spans="1:7" x14ac:dyDescent="0.25">
      <c r="A40" s="20" t="str">
        <f>IF(A39="","",IF(N(G39)&lt;=0,"",A39+1))</f>
        <v/>
      </c>
      <c r="B40" s="15" t="str">
        <f>IF(A40="","",EDATE($B$8,A40-1))</f>
        <v/>
      </c>
      <c r="C40" s="6" t="str">
        <f>IF(A40="","",G39)</f>
        <v/>
      </c>
      <c r="D40" s="6" t="str">
        <f>IF(A40="","",ROUND(C40*$B$5,2))</f>
        <v/>
      </c>
      <c r="E40" s="6" t="str">
        <f>IF(A40="","",MIN($B$6+$B$7,C40+D40))</f>
        <v/>
      </c>
      <c r="F40" s="6" t="str">
        <f>IF(A40="","",E40-D40)</f>
        <v/>
      </c>
      <c r="G40" s="17" t="str">
        <f>IF(A40="","",ROUND(C40+D40-E40,2))</f>
        <v/>
      </c>
    </row>
    <row r="41" spans="1:7" x14ac:dyDescent="0.25">
      <c r="A41" s="20" t="str">
        <f>IF(A40="","",IF(N(G40)&lt;=0,"",A40+1))</f>
        <v/>
      </c>
      <c r="B41" s="15" t="str">
        <f>IF(A41="","",EDATE($B$8,A41-1))</f>
        <v/>
      </c>
      <c r="C41" s="6" t="str">
        <f>IF(A41="","",G40)</f>
        <v/>
      </c>
      <c r="D41" s="6" t="str">
        <f>IF(A41="","",ROUND(C41*$B$5,2))</f>
        <v/>
      </c>
      <c r="E41" s="6" t="str">
        <f>IF(A41="","",MIN($B$6+$B$7,C41+D41))</f>
        <v/>
      </c>
      <c r="F41" s="6" t="str">
        <f>IF(A41="","",E41-D41)</f>
        <v/>
      </c>
      <c r="G41" s="17" t="str">
        <f>IF(A41="","",ROUND(C41+D41-E41,2))</f>
        <v/>
      </c>
    </row>
    <row r="42" spans="1:7" x14ac:dyDescent="0.25">
      <c r="A42" s="20" t="str">
        <f>IF(A41="","",IF(N(G41)&lt;=0,"",A41+1))</f>
        <v/>
      </c>
      <c r="B42" s="15" t="str">
        <f>IF(A42="","",EDATE($B$8,A42-1))</f>
        <v/>
      </c>
      <c r="C42" s="6" t="str">
        <f>IF(A42="","",G41)</f>
        <v/>
      </c>
      <c r="D42" s="6" t="str">
        <f>IF(A42="","",ROUND(C42*$B$5,2))</f>
        <v/>
      </c>
      <c r="E42" s="6" t="str">
        <f>IF(A42="","",MIN($B$6+$B$7,C42+D42))</f>
        <v/>
      </c>
      <c r="F42" s="6" t="str">
        <f>IF(A42="","",E42-D42)</f>
        <v/>
      </c>
      <c r="G42" s="17" t="str">
        <f>IF(A42="","",ROUND(C42+D42-E42,2))</f>
        <v/>
      </c>
    </row>
    <row r="43" spans="1:7" x14ac:dyDescent="0.25">
      <c r="A43" s="20" t="str">
        <f>IF(A42="","",IF(N(G42)&lt;=0,"",A42+1))</f>
        <v/>
      </c>
      <c r="B43" s="15" t="str">
        <f>IF(A43="","",EDATE($B$8,A43-1))</f>
        <v/>
      </c>
      <c r="C43" s="6" t="str">
        <f>IF(A43="","",G42)</f>
        <v/>
      </c>
      <c r="D43" s="6" t="str">
        <f>IF(A43="","",ROUND(C43*$B$5,2))</f>
        <v/>
      </c>
      <c r="E43" s="6" t="str">
        <f>IF(A43="","",MIN($B$6+$B$7,C43+D43))</f>
        <v/>
      </c>
      <c r="F43" s="6" t="str">
        <f>IF(A43="","",E43-D43)</f>
        <v/>
      </c>
      <c r="G43" s="17" t="str">
        <f>IF(A43="","",ROUND(C43+D43-E43,2))</f>
        <v/>
      </c>
    </row>
    <row r="44" spans="1:7" x14ac:dyDescent="0.25">
      <c r="A44" s="20" t="str">
        <f>IF(A43="","",IF(N(G43)&lt;=0,"",A43+1))</f>
        <v/>
      </c>
      <c r="B44" s="15" t="str">
        <f>IF(A44="","",EDATE($B$8,A44-1))</f>
        <v/>
      </c>
      <c r="C44" s="6" t="str">
        <f>IF(A44="","",G43)</f>
        <v/>
      </c>
      <c r="D44" s="6" t="str">
        <f>IF(A44="","",ROUND(C44*$B$5,2))</f>
        <v/>
      </c>
      <c r="E44" s="6" t="str">
        <f>IF(A44="","",MIN($B$6+$B$7,C44+D44))</f>
        <v/>
      </c>
      <c r="F44" s="6" t="str">
        <f>IF(A44="","",E44-D44)</f>
        <v/>
      </c>
      <c r="G44" s="17" t="str">
        <f>IF(A44="","",ROUND(C44+D44-E44,2))</f>
        <v/>
      </c>
    </row>
    <row r="45" spans="1:7" x14ac:dyDescent="0.25">
      <c r="A45" s="20" t="str">
        <f>IF(A44="","",IF(N(G44)&lt;=0,"",A44+1))</f>
        <v/>
      </c>
      <c r="B45" s="15" t="str">
        <f>IF(A45="","",EDATE($B$8,A45-1))</f>
        <v/>
      </c>
      <c r="C45" s="6" t="str">
        <f>IF(A45="","",G44)</f>
        <v/>
      </c>
      <c r="D45" s="6" t="str">
        <f>IF(A45="","",ROUND(C45*$B$5,2))</f>
        <v/>
      </c>
      <c r="E45" s="6" t="str">
        <f>IF(A45="","",MIN($B$6+$B$7,C45+D45))</f>
        <v/>
      </c>
      <c r="F45" s="6" t="str">
        <f>IF(A45="","",E45-D45)</f>
        <v/>
      </c>
      <c r="G45" s="17" t="str">
        <f>IF(A45="","",ROUND(C45+D45-E45,2))</f>
        <v/>
      </c>
    </row>
    <row r="46" spans="1:7" x14ac:dyDescent="0.25">
      <c r="A46" s="20" t="str">
        <f>IF(A45="","",IF(N(G45)&lt;=0,"",A45+1))</f>
        <v/>
      </c>
      <c r="B46" s="15" t="str">
        <f>IF(A46="","",EDATE($B$8,A46-1))</f>
        <v/>
      </c>
      <c r="C46" s="6" t="str">
        <f>IF(A46="","",G45)</f>
        <v/>
      </c>
      <c r="D46" s="6" t="str">
        <f>IF(A46="","",ROUND(C46*$B$5,2))</f>
        <v/>
      </c>
      <c r="E46" s="6" t="str">
        <f>IF(A46="","",MIN($B$6+$B$7,C46+D46))</f>
        <v/>
      </c>
      <c r="F46" s="6" t="str">
        <f>IF(A46="","",E46-D46)</f>
        <v/>
      </c>
      <c r="G46" s="17" t="str">
        <f>IF(A46="","",ROUND(C46+D46-E46,2))</f>
        <v/>
      </c>
    </row>
    <row r="47" spans="1:7" x14ac:dyDescent="0.25">
      <c r="A47" s="20" t="str">
        <f>IF(A46="","",IF(N(G46)&lt;=0,"",A46+1))</f>
        <v/>
      </c>
      <c r="B47" s="15" t="str">
        <f>IF(A47="","",EDATE($B$8,A47-1))</f>
        <v/>
      </c>
      <c r="C47" s="6" t="str">
        <f>IF(A47="","",G46)</f>
        <v/>
      </c>
      <c r="D47" s="6" t="str">
        <f>IF(A47="","",ROUND(C47*$B$5,2))</f>
        <v/>
      </c>
      <c r="E47" s="6" t="str">
        <f>IF(A47="","",MIN($B$6+$B$7,C47+D47))</f>
        <v/>
      </c>
      <c r="F47" s="6" t="str">
        <f>IF(A47="","",E47-D47)</f>
        <v/>
      </c>
      <c r="G47" s="17" t="str">
        <f>IF(A47="","",ROUND(C47+D47-E47,2))</f>
        <v/>
      </c>
    </row>
    <row r="48" spans="1:7" x14ac:dyDescent="0.25">
      <c r="A48" s="20" t="str">
        <f>IF(A47="","",IF(N(G47)&lt;=0,"",A47+1))</f>
        <v/>
      </c>
      <c r="B48" s="15" t="str">
        <f>IF(A48="","",EDATE($B$8,A48-1))</f>
        <v/>
      </c>
      <c r="C48" s="6" t="str">
        <f>IF(A48="","",G47)</f>
        <v/>
      </c>
      <c r="D48" s="6" t="str">
        <f>IF(A48="","",ROUND(C48*$B$5,2))</f>
        <v/>
      </c>
      <c r="E48" s="6" t="str">
        <f>IF(A48="","",MIN($B$6+$B$7,C48+D48))</f>
        <v/>
      </c>
      <c r="F48" s="6" t="str">
        <f>IF(A48="","",E48-D48)</f>
        <v/>
      </c>
      <c r="G48" s="17" t="str">
        <f>IF(A48="","",ROUND(C48+D48-E48,2))</f>
        <v/>
      </c>
    </row>
    <row r="49" spans="1:7" x14ac:dyDescent="0.25">
      <c r="A49" s="20" t="str">
        <f>IF(A48="","",IF(N(G48)&lt;=0,"",A48+1))</f>
        <v/>
      </c>
      <c r="B49" s="15" t="str">
        <f>IF(A49="","",EDATE($B$8,A49-1))</f>
        <v/>
      </c>
      <c r="C49" s="6" t="str">
        <f>IF(A49="","",G48)</f>
        <v/>
      </c>
      <c r="D49" s="6" t="str">
        <f>IF(A49="","",ROUND(C49*$B$5,2))</f>
        <v/>
      </c>
      <c r="E49" s="6" t="str">
        <f>IF(A49="","",MIN($B$6+$B$7,C49+D49))</f>
        <v/>
      </c>
      <c r="F49" s="6" t="str">
        <f>IF(A49="","",E49-D49)</f>
        <v/>
      </c>
      <c r="G49" s="17" t="str">
        <f>IF(A49="","",ROUND(C49+D49-E49,2))</f>
        <v/>
      </c>
    </row>
    <row r="50" spans="1:7" x14ac:dyDescent="0.25">
      <c r="A50" s="20" t="str">
        <f>IF(A49="","",IF(N(G49)&lt;=0,"",A49+1))</f>
        <v/>
      </c>
      <c r="B50" s="15" t="str">
        <f>IF(A50="","",EDATE($B$8,A50-1))</f>
        <v/>
      </c>
      <c r="C50" s="6" t="str">
        <f>IF(A50="","",G49)</f>
        <v/>
      </c>
      <c r="D50" s="6" t="str">
        <f>IF(A50="","",ROUND(C50*$B$5,2))</f>
        <v/>
      </c>
      <c r="E50" s="6" t="str">
        <f>IF(A50="","",MIN($B$6+$B$7,C50+D50))</f>
        <v/>
      </c>
      <c r="F50" s="6" t="str">
        <f>IF(A50="","",E50-D50)</f>
        <v/>
      </c>
      <c r="G50" s="17" t="str">
        <f>IF(A50="","",ROUND(C50+D50-E50,2))</f>
        <v/>
      </c>
    </row>
    <row r="51" spans="1:7" x14ac:dyDescent="0.25">
      <c r="A51" s="20" t="str">
        <f>IF(A50="","",IF(N(G50)&lt;=0,"",A50+1))</f>
        <v/>
      </c>
      <c r="B51" s="15" t="str">
        <f>IF(A51="","",EDATE($B$8,A51-1))</f>
        <v/>
      </c>
      <c r="C51" s="6" t="str">
        <f>IF(A51="","",G50)</f>
        <v/>
      </c>
      <c r="D51" s="6" t="str">
        <f>IF(A51="","",ROUND(C51*$B$5,2))</f>
        <v/>
      </c>
      <c r="E51" s="6" t="str">
        <f>IF(A51="","",MIN($B$6+$B$7,C51+D51))</f>
        <v/>
      </c>
      <c r="F51" s="6" t="str">
        <f>IF(A51="","",E51-D51)</f>
        <v/>
      </c>
      <c r="G51" s="17" t="str">
        <f>IF(A51="","",ROUND(C51+D51-E51,2))</f>
        <v/>
      </c>
    </row>
    <row r="52" spans="1:7" x14ac:dyDescent="0.25">
      <c r="A52" s="20" t="str">
        <f>IF(A51="","",IF(N(G51)&lt;=0,"",A51+1))</f>
        <v/>
      </c>
      <c r="B52" s="15" t="str">
        <f>IF(A52="","",EDATE($B$8,A52-1))</f>
        <v/>
      </c>
      <c r="C52" s="6" t="str">
        <f>IF(A52="","",G51)</f>
        <v/>
      </c>
      <c r="D52" s="6" t="str">
        <f>IF(A52="","",ROUND(C52*$B$5,2))</f>
        <v/>
      </c>
      <c r="E52" s="6" t="str">
        <f>IF(A52="","",MIN($B$6+$B$7,C52+D52))</f>
        <v/>
      </c>
      <c r="F52" s="6" t="str">
        <f>IF(A52="","",E52-D52)</f>
        <v/>
      </c>
      <c r="G52" s="17" t="str">
        <f>IF(A52="","",ROUND(C52+D52-E52,2))</f>
        <v/>
      </c>
    </row>
    <row r="53" spans="1:7" x14ac:dyDescent="0.25">
      <c r="A53" s="20" t="str">
        <f>IF(A52="","",IF(N(G52)&lt;=0,"",A52+1))</f>
        <v/>
      </c>
      <c r="B53" s="15" t="str">
        <f>IF(A53="","",EDATE($B$8,A53-1))</f>
        <v/>
      </c>
      <c r="C53" s="6" t="str">
        <f>IF(A53="","",G52)</f>
        <v/>
      </c>
      <c r="D53" s="6" t="str">
        <f>IF(A53="","",ROUND(C53*$B$5,2))</f>
        <v/>
      </c>
      <c r="E53" s="6" t="str">
        <f>IF(A53="","",MIN($B$6+$B$7,C53+D53))</f>
        <v/>
      </c>
      <c r="F53" s="6" t="str">
        <f>IF(A53="","",E53-D53)</f>
        <v/>
      </c>
      <c r="G53" s="17" t="str">
        <f>IF(A53="","",ROUND(C53+D53-E53,2))</f>
        <v/>
      </c>
    </row>
    <row r="54" spans="1:7" x14ac:dyDescent="0.25">
      <c r="A54" s="20" t="str">
        <f>IF(A53="","",IF(N(G53)&lt;=0,"",A53+1))</f>
        <v/>
      </c>
      <c r="B54" s="15" t="str">
        <f>IF(A54="","",EDATE($B$8,A54-1))</f>
        <v/>
      </c>
      <c r="C54" s="6" t="str">
        <f>IF(A54="","",G53)</f>
        <v/>
      </c>
      <c r="D54" s="6" t="str">
        <f>IF(A54="","",ROUND(C54*$B$5,2))</f>
        <v/>
      </c>
      <c r="E54" s="6" t="str">
        <f>IF(A54="","",MIN($B$6+$B$7,C54+D54))</f>
        <v/>
      </c>
      <c r="F54" s="6" t="str">
        <f>IF(A54="","",E54-D54)</f>
        <v/>
      </c>
      <c r="G54" s="17" t="str">
        <f>IF(A54="","",ROUND(C54+D54-E54,2))</f>
        <v/>
      </c>
    </row>
    <row r="55" spans="1:7" x14ac:dyDescent="0.25">
      <c r="A55" s="20" t="str">
        <f>IF(A54="","",IF(N(G54)&lt;=0,"",A54+1))</f>
        <v/>
      </c>
      <c r="B55" s="15" t="str">
        <f>IF(A55="","",EDATE($B$8,A55-1))</f>
        <v/>
      </c>
      <c r="C55" s="6" t="str">
        <f>IF(A55="","",G54)</f>
        <v/>
      </c>
      <c r="D55" s="6" t="str">
        <f>IF(A55="","",ROUND(C55*$B$5,2))</f>
        <v/>
      </c>
      <c r="E55" s="6" t="str">
        <f>IF(A55="","",MIN($B$6+$B$7,C55+D55))</f>
        <v/>
      </c>
      <c r="F55" s="6" t="str">
        <f>IF(A55="","",E55-D55)</f>
        <v/>
      </c>
      <c r="G55" s="17" t="str">
        <f>IF(A55="","",ROUND(C55+D55-E55,2))</f>
        <v/>
      </c>
    </row>
    <row r="56" spans="1:7" x14ac:dyDescent="0.25">
      <c r="A56" s="20" t="str">
        <f>IF(A55="","",IF(N(G55)&lt;=0,"",A55+1))</f>
        <v/>
      </c>
      <c r="B56" s="15" t="str">
        <f>IF(A56="","",EDATE($B$8,A56-1))</f>
        <v/>
      </c>
      <c r="C56" s="6" t="str">
        <f>IF(A56="","",G55)</f>
        <v/>
      </c>
      <c r="D56" s="6" t="str">
        <f>IF(A56="","",ROUND(C56*$B$5,2))</f>
        <v/>
      </c>
      <c r="E56" s="6" t="str">
        <f>IF(A56="","",MIN($B$6+$B$7,C56+D56))</f>
        <v/>
      </c>
      <c r="F56" s="6" t="str">
        <f>IF(A56="","",E56-D56)</f>
        <v/>
      </c>
      <c r="G56" s="17" t="str">
        <f>IF(A56="","",ROUND(C56+D56-E56,2))</f>
        <v/>
      </c>
    </row>
    <row r="57" spans="1:7" x14ac:dyDescent="0.25">
      <c r="A57" s="20" t="str">
        <f>IF(A56="","",IF(N(G56)&lt;=0,"",A56+1))</f>
        <v/>
      </c>
      <c r="B57" s="15" t="str">
        <f>IF(A57="","",EDATE($B$8,A57-1))</f>
        <v/>
      </c>
      <c r="C57" s="6" t="str">
        <f>IF(A57="","",G56)</f>
        <v/>
      </c>
      <c r="D57" s="6" t="str">
        <f>IF(A57="","",ROUND(C57*$B$5,2))</f>
        <v/>
      </c>
      <c r="E57" s="6" t="str">
        <f>IF(A57="","",MIN($B$6+$B$7,C57+D57))</f>
        <v/>
      </c>
      <c r="F57" s="6" t="str">
        <f>IF(A57="","",E57-D57)</f>
        <v/>
      </c>
      <c r="G57" s="17" t="str">
        <f>IF(A57="","",ROUND(C57+D57-E57,2))</f>
        <v/>
      </c>
    </row>
    <row r="58" spans="1:7" x14ac:dyDescent="0.25">
      <c r="A58" s="20" t="str">
        <f>IF(A57="","",IF(N(G57)&lt;=0,"",A57+1))</f>
        <v/>
      </c>
      <c r="B58" s="15" t="str">
        <f>IF(A58="","",EDATE($B$8,A58-1))</f>
        <v/>
      </c>
      <c r="C58" s="6" t="str">
        <f>IF(A58="","",G57)</f>
        <v/>
      </c>
      <c r="D58" s="6" t="str">
        <f>IF(A58="","",ROUND(C58*$B$5,2))</f>
        <v/>
      </c>
      <c r="E58" s="6" t="str">
        <f>IF(A58="","",MIN($B$6+$B$7,C58+D58))</f>
        <v/>
      </c>
      <c r="F58" s="6" t="str">
        <f>IF(A58="","",E58-D58)</f>
        <v/>
      </c>
      <c r="G58" s="17" t="str">
        <f>IF(A58="","",ROUND(C58+D58-E58,2))</f>
        <v/>
      </c>
    </row>
    <row r="59" spans="1:7" x14ac:dyDescent="0.25">
      <c r="A59" s="20" t="str">
        <f>IF(A58="","",IF(N(G58)&lt;=0,"",A58+1))</f>
        <v/>
      </c>
      <c r="B59" s="15" t="str">
        <f>IF(A59="","",EDATE($B$8,A59-1))</f>
        <v/>
      </c>
      <c r="C59" s="6" t="str">
        <f>IF(A59="","",G58)</f>
        <v/>
      </c>
      <c r="D59" s="6" t="str">
        <f>IF(A59="","",ROUND(C59*$B$5,2))</f>
        <v/>
      </c>
      <c r="E59" s="6" t="str">
        <f>IF(A59="","",MIN($B$6+$B$7,C59+D59))</f>
        <v/>
      </c>
      <c r="F59" s="6" t="str">
        <f>IF(A59="","",E59-D59)</f>
        <v/>
      </c>
      <c r="G59" s="17" t="str">
        <f>IF(A59="","",ROUND(C59+D59-E59,2))</f>
        <v/>
      </c>
    </row>
    <row r="60" spans="1:7" x14ac:dyDescent="0.25">
      <c r="A60" s="20" t="str">
        <f>IF(A59="","",IF(N(G59)&lt;=0,"",A59+1))</f>
        <v/>
      </c>
      <c r="B60" s="15" t="str">
        <f>IF(A60="","",EDATE($B$8,A60-1))</f>
        <v/>
      </c>
      <c r="C60" s="6" t="str">
        <f>IF(A60="","",G59)</f>
        <v/>
      </c>
      <c r="D60" s="6" t="str">
        <f>IF(A60="","",ROUND(C60*$B$5,2))</f>
        <v/>
      </c>
      <c r="E60" s="6" t="str">
        <f>IF(A60="","",MIN($B$6+$B$7,C60+D60))</f>
        <v/>
      </c>
      <c r="F60" s="6" t="str">
        <f>IF(A60="","",E60-D60)</f>
        <v/>
      </c>
      <c r="G60" s="17" t="str">
        <f>IF(A60="","",ROUND(C60+D60-E60,2))</f>
        <v/>
      </c>
    </row>
    <row r="61" spans="1:7" x14ac:dyDescent="0.25">
      <c r="A61" s="20" t="str">
        <f>IF(A60="","",IF(N(G60)&lt;=0,"",A60+1))</f>
        <v/>
      </c>
      <c r="B61" s="15" t="str">
        <f>IF(A61="","",EDATE($B$8,A61-1))</f>
        <v/>
      </c>
      <c r="C61" s="6" t="str">
        <f>IF(A61="","",G60)</f>
        <v/>
      </c>
      <c r="D61" s="6" t="str">
        <f>IF(A61="","",ROUND(C61*$B$5,2))</f>
        <v/>
      </c>
      <c r="E61" s="6" t="str">
        <f>IF(A61="","",MIN($B$6+$B$7,C61+D61))</f>
        <v/>
      </c>
      <c r="F61" s="6" t="str">
        <f>IF(A61="","",E61-D61)</f>
        <v/>
      </c>
      <c r="G61" s="17" t="str">
        <f>IF(A61="","",ROUND(C61+D61-E61,2))</f>
        <v/>
      </c>
    </row>
    <row r="62" spans="1:7" x14ac:dyDescent="0.25">
      <c r="A62" s="20" t="str">
        <f>IF(A61="","",IF(N(G61)&lt;=0,"",A61+1))</f>
        <v/>
      </c>
      <c r="B62" s="15" t="str">
        <f>IF(A62="","",EDATE($B$8,A62-1))</f>
        <v/>
      </c>
      <c r="C62" s="6" t="str">
        <f>IF(A62="","",G61)</f>
        <v/>
      </c>
      <c r="D62" s="6" t="str">
        <f>IF(A62="","",ROUND(C62*$B$5,2))</f>
        <v/>
      </c>
      <c r="E62" s="6" t="str">
        <f>IF(A62="","",MIN($B$6+$B$7,C62+D62))</f>
        <v/>
      </c>
      <c r="F62" s="6" t="str">
        <f>IF(A62="","",E62-D62)</f>
        <v/>
      </c>
      <c r="G62" s="17" t="str">
        <f>IF(A62="","",ROUND(C62+D62-E62,2))</f>
        <v/>
      </c>
    </row>
    <row r="63" spans="1:7" x14ac:dyDescent="0.25">
      <c r="A63" s="20" t="str">
        <f>IF(A62="","",IF(N(G62)&lt;=0,"",A62+1))</f>
        <v/>
      </c>
      <c r="B63" s="15" t="str">
        <f>IF(A63="","",EDATE($B$8,A63-1))</f>
        <v/>
      </c>
      <c r="C63" s="6" t="str">
        <f>IF(A63="","",G62)</f>
        <v/>
      </c>
      <c r="D63" s="6" t="str">
        <f>IF(A63="","",ROUND(C63*$B$5,2))</f>
        <v/>
      </c>
      <c r="E63" s="6" t="str">
        <f>IF(A63="","",MIN($B$6+$B$7,C63+D63))</f>
        <v/>
      </c>
      <c r="F63" s="6" t="str">
        <f>IF(A63="","",E63-D63)</f>
        <v/>
      </c>
      <c r="G63" s="17" t="str">
        <f>IF(A63="","",ROUND(C63+D63-E63,2))</f>
        <v/>
      </c>
    </row>
    <row r="64" spans="1:7" x14ac:dyDescent="0.25">
      <c r="A64" s="20" t="str">
        <f>IF(A63="","",IF(N(G63)&lt;=0,"",A63+1))</f>
        <v/>
      </c>
      <c r="B64" s="15" t="str">
        <f>IF(A64="","",EDATE($B$8,A64-1))</f>
        <v/>
      </c>
      <c r="C64" s="6" t="str">
        <f>IF(A64="","",G63)</f>
        <v/>
      </c>
      <c r="D64" s="6" t="str">
        <f>IF(A64="","",ROUND(C64*$B$5,2))</f>
        <v/>
      </c>
      <c r="E64" s="6" t="str">
        <f>IF(A64="","",MIN($B$6+$B$7,C64+D64))</f>
        <v/>
      </c>
      <c r="F64" s="6" t="str">
        <f>IF(A64="","",E64-D64)</f>
        <v/>
      </c>
      <c r="G64" s="17" t="str">
        <f>IF(A64="","",ROUND(C64+D64-E64,2))</f>
        <v/>
      </c>
    </row>
    <row r="65" spans="1:7" x14ac:dyDescent="0.25">
      <c r="A65" s="20" t="str">
        <f>IF(A64="","",IF(N(G64)&lt;=0,"",A64+1))</f>
        <v/>
      </c>
      <c r="B65" s="15" t="str">
        <f>IF(A65="","",EDATE($B$8,A65-1))</f>
        <v/>
      </c>
      <c r="C65" s="6" t="str">
        <f>IF(A65="","",G64)</f>
        <v/>
      </c>
      <c r="D65" s="6" t="str">
        <f>IF(A65="","",ROUND(C65*$B$5,2))</f>
        <v/>
      </c>
      <c r="E65" s="6" t="str">
        <f>IF(A65="","",MIN($B$6+$B$7,C65+D65))</f>
        <v/>
      </c>
      <c r="F65" s="6" t="str">
        <f>IF(A65="","",E65-D65)</f>
        <v/>
      </c>
      <c r="G65" s="17" t="str">
        <f>IF(A65="","",ROUND(C65+D65-E65,2))</f>
        <v/>
      </c>
    </row>
    <row r="66" spans="1:7" x14ac:dyDescent="0.25">
      <c r="A66" s="20" t="str">
        <f>IF(A65="","",IF(N(G65)&lt;=0,"",A65+1))</f>
        <v/>
      </c>
      <c r="B66" s="15" t="str">
        <f>IF(A66="","",EDATE($B$8,A66-1))</f>
        <v/>
      </c>
      <c r="C66" s="6" t="str">
        <f>IF(A66="","",G65)</f>
        <v/>
      </c>
      <c r="D66" s="6" t="str">
        <f>IF(A66="","",ROUND(C66*$B$5,2))</f>
        <v/>
      </c>
      <c r="E66" s="6" t="str">
        <f>IF(A66="","",MIN($B$6+$B$7,C66+D66))</f>
        <v/>
      </c>
      <c r="F66" s="6" t="str">
        <f>IF(A66="","",E66-D66)</f>
        <v/>
      </c>
      <c r="G66" s="17" t="str">
        <f>IF(A66="","",ROUND(C66+D66-E66,2))</f>
        <v/>
      </c>
    </row>
    <row r="67" spans="1:7" x14ac:dyDescent="0.25">
      <c r="A67" s="20" t="str">
        <f>IF(A66="","",IF(N(G66)&lt;=0,"",A66+1))</f>
        <v/>
      </c>
      <c r="B67" s="15" t="str">
        <f>IF(A67="","",EDATE($B$8,A67-1))</f>
        <v/>
      </c>
      <c r="C67" s="6" t="str">
        <f>IF(A67="","",G66)</f>
        <v/>
      </c>
      <c r="D67" s="6" t="str">
        <f>IF(A67="","",ROUND(C67*$B$5,2))</f>
        <v/>
      </c>
      <c r="E67" s="6" t="str">
        <f>IF(A67="","",MIN($B$6+$B$7,C67+D67))</f>
        <v/>
      </c>
      <c r="F67" s="6" t="str">
        <f>IF(A67="","",E67-D67)</f>
        <v/>
      </c>
      <c r="G67" s="17" t="str">
        <f>IF(A67="","",ROUND(C67+D67-E67,2))</f>
        <v/>
      </c>
    </row>
    <row r="68" spans="1:7" x14ac:dyDescent="0.25">
      <c r="A68" s="20" t="str">
        <f>IF(A67="","",IF(N(G67)&lt;=0,"",A67+1))</f>
        <v/>
      </c>
      <c r="B68" s="15" t="str">
        <f>IF(A68="","",EDATE($B$8,A68-1))</f>
        <v/>
      </c>
      <c r="C68" s="6" t="str">
        <f>IF(A68="","",G67)</f>
        <v/>
      </c>
      <c r="D68" s="6" t="str">
        <f>IF(A68="","",ROUND(C68*$B$5,2))</f>
        <v/>
      </c>
      <c r="E68" s="6" t="str">
        <f>IF(A68="","",MIN($B$6+$B$7,C68+D68))</f>
        <v/>
      </c>
      <c r="F68" s="6" t="str">
        <f>IF(A68="","",E68-D68)</f>
        <v/>
      </c>
      <c r="G68" s="17" t="str">
        <f>IF(A68="","",ROUND(C68+D68-E68,2))</f>
        <v/>
      </c>
    </row>
    <row r="69" spans="1:7" x14ac:dyDescent="0.25">
      <c r="A69" s="20" t="str">
        <f>IF(A68="","",IF(N(G68)&lt;=0,"",A68+1))</f>
        <v/>
      </c>
      <c r="B69" s="15" t="str">
        <f>IF(A69="","",EDATE($B$8,A69-1))</f>
        <v/>
      </c>
      <c r="C69" s="6" t="str">
        <f>IF(A69="","",G68)</f>
        <v/>
      </c>
      <c r="D69" s="6" t="str">
        <f>IF(A69="","",ROUND(C69*$B$5,2))</f>
        <v/>
      </c>
      <c r="E69" s="6" t="str">
        <f>IF(A69="","",MIN($B$6+$B$7,C69+D69))</f>
        <v/>
      </c>
      <c r="F69" s="6" t="str">
        <f>IF(A69="","",E69-D69)</f>
        <v/>
      </c>
      <c r="G69" s="17" t="str">
        <f>IF(A69="","",ROUND(C69+D69-E69,2))</f>
        <v/>
      </c>
    </row>
    <row r="70" spans="1:7" x14ac:dyDescent="0.25">
      <c r="A70" s="20" t="str">
        <f>IF(A69="","",IF(N(G69)&lt;=0,"",A69+1))</f>
        <v/>
      </c>
      <c r="B70" s="15" t="str">
        <f>IF(A70="","",EDATE($B$8,A70-1))</f>
        <v/>
      </c>
      <c r="C70" s="6" t="str">
        <f>IF(A70="","",G69)</f>
        <v/>
      </c>
      <c r="D70" s="6" t="str">
        <f>IF(A70="","",ROUND(C70*$B$5,2))</f>
        <v/>
      </c>
      <c r="E70" s="6" t="str">
        <f>IF(A70="","",MIN($B$6+$B$7,C70+D70))</f>
        <v/>
      </c>
      <c r="F70" s="6" t="str">
        <f>IF(A70="","",E70-D70)</f>
        <v/>
      </c>
      <c r="G70" s="17" t="str">
        <f>IF(A70="","",ROUND(C70+D70-E70,2))</f>
        <v/>
      </c>
    </row>
    <row r="71" spans="1:7" x14ac:dyDescent="0.25">
      <c r="A71" s="20" t="str">
        <f>IF(A70="","",IF(N(G70)&lt;=0,"",A70+1))</f>
        <v/>
      </c>
      <c r="B71" s="15" t="str">
        <f>IF(A71="","",EDATE($B$8,A71-1))</f>
        <v/>
      </c>
      <c r="C71" s="6" t="str">
        <f>IF(A71="","",G70)</f>
        <v/>
      </c>
      <c r="D71" s="6" t="str">
        <f>IF(A71="","",ROUND(C71*$B$5,2))</f>
        <v/>
      </c>
      <c r="E71" s="6" t="str">
        <f>IF(A71="","",MIN($B$6+$B$7,C71+D71))</f>
        <v/>
      </c>
      <c r="F71" s="6" t="str">
        <f>IF(A71="","",E71-D71)</f>
        <v/>
      </c>
      <c r="G71" s="17" t="str">
        <f>IF(A71="","",ROUND(C71+D71-E71,2))</f>
        <v/>
      </c>
    </row>
    <row r="72" spans="1:7" x14ac:dyDescent="0.25">
      <c r="A72" s="20" t="str">
        <f>IF(A71="","",IF(N(G71)&lt;=0,"",A71+1))</f>
        <v/>
      </c>
      <c r="B72" s="15" t="str">
        <f>IF(A72="","",EDATE($B$8,A72-1))</f>
        <v/>
      </c>
      <c r="C72" s="6" t="str">
        <f>IF(A72="","",G71)</f>
        <v/>
      </c>
      <c r="D72" s="6" t="str">
        <f>IF(A72="","",ROUND(C72*$B$5,2))</f>
        <v/>
      </c>
      <c r="E72" s="6" t="str">
        <f>IF(A72="","",MIN($B$6+$B$7,C72+D72))</f>
        <v/>
      </c>
      <c r="F72" s="6" t="str">
        <f>IF(A72="","",E72-D72)</f>
        <v/>
      </c>
      <c r="G72" s="17" t="str">
        <f>IF(A72="","",ROUND(C72+D72-E72,2))</f>
        <v/>
      </c>
    </row>
    <row r="73" spans="1:7" x14ac:dyDescent="0.25">
      <c r="A73" s="20" t="str">
        <f>IF(A72="","",IF(N(G72)&lt;=0,"",A72+1))</f>
        <v/>
      </c>
      <c r="B73" s="15" t="str">
        <f>IF(A73="","",EDATE($B$8,A73-1))</f>
        <v/>
      </c>
      <c r="C73" s="6" t="str">
        <f>IF(A73="","",G72)</f>
        <v/>
      </c>
      <c r="D73" s="6" t="str">
        <f>IF(A73="","",ROUND(C73*$B$5,2))</f>
        <v/>
      </c>
      <c r="E73" s="6" t="str">
        <f>IF(A73="","",MIN($B$6+$B$7,C73+D73))</f>
        <v/>
      </c>
      <c r="F73" s="6" t="str">
        <f>IF(A73="","",E73-D73)</f>
        <v/>
      </c>
      <c r="G73" s="17" t="str">
        <f>IF(A73="","",ROUND(C73+D73-E73,2))</f>
        <v/>
      </c>
    </row>
    <row r="74" spans="1:7" x14ac:dyDescent="0.25">
      <c r="A74" s="20" t="str">
        <f>IF(A73="","",IF(N(G73)&lt;=0,"",A73+1))</f>
        <v/>
      </c>
      <c r="B74" s="15" t="str">
        <f>IF(A74="","",EDATE($B$8,A74-1))</f>
        <v/>
      </c>
      <c r="C74" s="6" t="str">
        <f>IF(A74="","",G73)</f>
        <v/>
      </c>
      <c r="D74" s="6" t="str">
        <f>IF(A74="","",ROUND(C74*$B$5,2))</f>
        <v/>
      </c>
      <c r="E74" s="6" t="str">
        <f>IF(A74="","",MIN($B$6+$B$7,C74+D74))</f>
        <v/>
      </c>
      <c r="F74" s="6" t="str">
        <f>IF(A74="","",E74-D74)</f>
        <v/>
      </c>
      <c r="G74" s="17" t="str">
        <f>IF(A74="","",ROUND(C74+D74-E74,2))</f>
        <v/>
      </c>
    </row>
    <row r="75" spans="1:7" x14ac:dyDescent="0.25">
      <c r="A75" s="20" t="str">
        <f>IF(A74="","",IF(N(G74)&lt;=0,"",A74+1))</f>
        <v/>
      </c>
      <c r="B75" s="15" t="str">
        <f>IF(A75="","",EDATE($B$8,A75-1))</f>
        <v/>
      </c>
      <c r="C75" s="6" t="str">
        <f>IF(A75="","",G74)</f>
        <v/>
      </c>
      <c r="D75" s="6" t="str">
        <f>IF(A75="","",ROUND(C75*$B$5,2))</f>
        <v/>
      </c>
      <c r="E75" s="6" t="str">
        <f>IF(A75="","",MIN($B$6+$B$7,C75+D75))</f>
        <v/>
      </c>
      <c r="F75" s="6" t="str">
        <f>IF(A75="","",E75-D75)</f>
        <v/>
      </c>
      <c r="G75" s="17" t="str">
        <f>IF(A75="","",ROUND(C75+D75-E75,2))</f>
        <v/>
      </c>
    </row>
    <row r="76" spans="1:7" x14ac:dyDescent="0.25">
      <c r="A76" s="20" t="str">
        <f>IF(A75="","",IF(N(G75)&lt;=0,"",A75+1))</f>
        <v/>
      </c>
      <c r="B76" s="15" t="str">
        <f>IF(A76="","",EDATE($B$8,A76-1))</f>
        <v/>
      </c>
      <c r="C76" s="6" t="str">
        <f>IF(A76="","",G75)</f>
        <v/>
      </c>
      <c r="D76" s="6" t="str">
        <f>IF(A76="","",ROUND(C76*$B$5,2))</f>
        <v/>
      </c>
      <c r="E76" s="6" t="str">
        <f>IF(A76="","",MIN($B$6+$B$7,C76+D76))</f>
        <v/>
      </c>
      <c r="F76" s="6" t="str">
        <f>IF(A76="","",E76-D76)</f>
        <v/>
      </c>
      <c r="G76" s="17" t="str">
        <f>IF(A76="","",ROUND(C76+D76-E76,2))</f>
        <v/>
      </c>
    </row>
    <row r="77" spans="1:7" x14ac:dyDescent="0.25">
      <c r="A77" s="20" t="str">
        <f>IF(A76="","",IF(N(G76)&lt;=0,"",A76+1))</f>
        <v/>
      </c>
      <c r="B77" s="15" t="str">
        <f>IF(A77="","",EDATE($B$8,A77-1))</f>
        <v/>
      </c>
      <c r="C77" s="6" t="str">
        <f>IF(A77="","",G76)</f>
        <v/>
      </c>
      <c r="D77" s="6" t="str">
        <f>IF(A77="","",ROUND(C77*$B$5,2))</f>
        <v/>
      </c>
      <c r="E77" s="6" t="str">
        <f>IF(A77="","",MIN($B$6+$B$7,C77+D77))</f>
        <v/>
      </c>
      <c r="F77" s="6" t="str">
        <f>IF(A77="","",E77-D77)</f>
        <v/>
      </c>
      <c r="G77" s="17" t="str">
        <f>IF(A77="","",ROUND(C77+D77-E77,2))</f>
        <v/>
      </c>
    </row>
    <row r="78" spans="1:7" x14ac:dyDescent="0.25">
      <c r="A78" s="20" t="str">
        <f>IF(A77="","",IF(N(G77)&lt;=0,"",A77+1))</f>
        <v/>
      </c>
      <c r="B78" s="15" t="str">
        <f>IF(A78="","",EDATE($B$8,A78-1))</f>
        <v/>
      </c>
      <c r="C78" s="6" t="str">
        <f>IF(A78="","",G77)</f>
        <v/>
      </c>
      <c r="D78" s="6" t="str">
        <f>IF(A78="","",ROUND(C78*$B$5,2))</f>
        <v/>
      </c>
      <c r="E78" s="6" t="str">
        <f>IF(A78="","",MIN($B$6+$B$7,C78+D78))</f>
        <v/>
      </c>
      <c r="F78" s="6" t="str">
        <f>IF(A78="","",E78-D78)</f>
        <v/>
      </c>
      <c r="G78" s="17" t="str">
        <f>IF(A78="","",ROUND(C78+D78-E78,2))</f>
        <v/>
      </c>
    </row>
    <row r="79" spans="1:7" x14ac:dyDescent="0.25">
      <c r="A79" s="20" t="str">
        <f>IF(A78="","",IF(N(G78)&lt;=0,"",A78+1))</f>
        <v/>
      </c>
      <c r="B79" s="15" t="str">
        <f>IF(A79="","",EDATE($B$8,A79-1))</f>
        <v/>
      </c>
      <c r="C79" s="6" t="str">
        <f>IF(A79="","",G78)</f>
        <v/>
      </c>
      <c r="D79" s="6" t="str">
        <f>IF(A79="","",ROUND(C79*$B$5,2))</f>
        <v/>
      </c>
      <c r="E79" s="6" t="str">
        <f>IF(A79="","",MIN($B$6+$B$7,C79+D79))</f>
        <v/>
      </c>
      <c r="F79" s="6" t="str">
        <f>IF(A79="","",E79-D79)</f>
        <v/>
      </c>
      <c r="G79" s="17" t="str">
        <f>IF(A79="","",ROUND(C79+D79-E79,2))</f>
        <v/>
      </c>
    </row>
    <row r="80" spans="1:7" x14ac:dyDescent="0.25">
      <c r="A80" s="20" t="str">
        <f>IF(A79="","",IF(N(G79)&lt;=0,"",A79+1))</f>
        <v/>
      </c>
      <c r="B80" s="15" t="str">
        <f>IF(A80="","",EDATE($B$8,A80-1))</f>
        <v/>
      </c>
      <c r="C80" s="6" t="str">
        <f>IF(A80="","",G79)</f>
        <v/>
      </c>
      <c r="D80" s="6" t="str">
        <f>IF(A80="","",ROUND(C80*$B$5,2))</f>
        <v/>
      </c>
      <c r="E80" s="6" t="str">
        <f>IF(A80="","",MIN($B$6+$B$7,C80+D80))</f>
        <v/>
      </c>
      <c r="F80" s="6" t="str">
        <f>IF(A80="","",E80-D80)</f>
        <v/>
      </c>
      <c r="G80" s="17" t="str">
        <f>IF(A80="","",ROUND(C80+D80-E80,2))</f>
        <v/>
      </c>
    </row>
    <row r="81" spans="1:7" x14ac:dyDescent="0.25">
      <c r="A81" s="20" t="str">
        <f>IF(A80="","",IF(N(G80)&lt;=0,"",A80+1))</f>
        <v/>
      </c>
      <c r="B81" s="15" t="str">
        <f>IF(A81="","",EDATE($B$8,A81-1))</f>
        <v/>
      </c>
      <c r="C81" s="6" t="str">
        <f>IF(A81="","",G80)</f>
        <v/>
      </c>
      <c r="D81" s="6" t="str">
        <f>IF(A81="","",ROUND(C81*$B$5,2))</f>
        <v/>
      </c>
      <c r="E81" s="6" t="str">
        <f>IF(A81="","",MIN($B$6+$B$7,C81+D81))</f>
        <v/>
      </c>
      <c r="F81" s="6" t="str">
        <f>IF(A81="","",E81-D81)</f>
        <v/>
      </c>
      <c r="G81" s="17" t="str">
        <f>IF(A81="","",ROUND(C81+D81-E81,2))</f>
        <v/>
      </c>
    </row>
    <row r="82" spans="1:7" x14ac:dyDescent="0.25">
      <c r="A82" s="20" t="str">
        <f>IF(A81="","",IF(N(G81)&lt;=0,"",A81+1))</f>
        <v/>
      </c>
      <c r="B82" s="15" t="str">
        <f>IF(A82="","",EDATE($B$8,A82-1))</f>
        <v/>
      </c>
      <c r="C82" s="6" t="str">
        <f>IF(A82="","",G81)</f>
        <v/>
      </c>
      <c r="D82" s="6" t="str">
        <f>IF(A82="","",ROUND(C82*$B$5,2))</f>
        <v/>
      </c>
      <c r="E82" s="6" t="str">
        <f>IF(A82="","",MIN($B$6+$B$7,C82+D82))</f>
        <v/>
      </c>
      <c r="F82" s="6" t="str">
        <f>IF(A82="","",E82-D82)</f>
        <v/>
      </c>
      <c r="G82" s="17" t="str">
        <f>IF(A82="","",ROUND(C82+D82-E82,2))</f>
        <v/>
      </c>
    </row>
    <row r="83" spans="1:7" x14ac:dyDescent="0.25">
      <c r="A83" s="20" t="str">
        <f>IF(A82="","",IF(N(G82)&lt;=0,"",A82+1))</f>
        <v/>
      </c>
      <c r="B83" s="15" t="str">
        <f>IF(A83="","",EDATE($B$8,A83-1))</f>
        <v/>
      </c>
      <c r="C83" s="6" t="str">
        <f>IF(A83="","",G82)</f>
        <v/>
      </c>
      <c r="D83" s="6" t="str">
        <f>IF(A83="","",ROUND(C83*$B$5,2))</f>
        <v/>
      </c>
      <c r="E83" s="6" t="str">
        <f>IF(A83="","",MIN($B$6+$B$7,C83+D83))</f>
        <v/>
      </c>
      <c r="F83" s="6" t="str">
        <f>IF(A83="","",E83-D83)</f>
        <v/>
      </c>
      <c r="G83" s="17" t="str">
        <f>IF(A83="","",ROUND(C83+D83-E83,2))</f>
        <v/>
      </c>
    </row>
    <row r="84" spans="1:7" x14ac:dyDescent="0.25">
      <c r="A84" s="20" t="str">
        <f>IF(A83="","",IF(N(G83)&lt;=0,"",A83+1))</f>
        <v/>
      </c>
      <c r="B84" s="15" t="str">
        <f>IF(A84="","",EDATE($B$8,A84-1))</f>
        <v/>
      </c>
      <c r="C84" s="6" t="str">
        <f>IF(A84="","",G83)</f>
        <v/>
      </c>
      <c r="D84" s="6" t="str">
        <f>IF(A84="","",ROUND(C84*$B$5,2))</f>
        <v/>
      </c>
      <c r="E84" s="6" t="str">
        <f>IF(A84="","",MIN($B$6+$B$7,C84+D84))</f>
        <v/>
      </c>
      <c r="F84" s="6" t="str">
        <f>IF(A84="","",E84-D84)</f>
        <v/>
      </c>
      <c r="G84" s="17" t="str">
        <f>IF(A84="","",ROUND(C84+D84-E84,2))</f>
        <v/>
      </c>
    </row>
    <row r="85" spans="1:7" x14ac:dyDescent="0.25">
      <c r="A85" s="20" t="str">
        <f>IF(A84="","",IF(N(G84)&lt;=0,"",A84+1))</f>
        <v/>
      </c>
      <c r="B85" s="15" t="str">
        <f>IF(A85="","",EDATE($B$8,A85-1))</f>
        <v/>
      </c>
      <c r="C85" s="6" t="str">
        <f>IF(A85="","",G84)</f>
        <v/>
      </c>
      <c r="D85" s="6" t="str">
        <f>IF(A85="","",ROUND(C85*$B$5,2))</f>
        <v/>
      </c>
      <c r="E85" s="6" t="str">
        <f>IF(A85="","",MIN($B$6+$B$7,C85+D85))</f>
        <v/>
      </c>
      <c r="F85" s="6" t="str">
        <f>IF(A85="","",E85-D85)</f>
        <v/>
      </c>
      <c r="G85" s="17" t="str">
        <f>IF(A85="","",ROUND(C85+D85-E85,2))</f>
        <v/>
      </c>
    </row>
    <row r="86" spans="1:7" x14ac:dyDescent="0.25">
      <c r="A86" s="20" t="str">
        <f>IF(A85="","",IF(N(G85)&lt;=0,"",A85+1))</f>
        <v/>
      </c>
      <c r="B86" s="15" t="str">
        <f>IF(A86="","",EDATE($B$8,A86-1))</f>
        <v/>
      </c>
      <c r="C86" s="6" t="str">
        <f>IF(A86="","",G85)</f>
        <v/>
      </c>
      <c r="D86" s="6" t="str">
        <f>IF(A86="","",ROUND(C86*$B$5,2))</f>
        <v/>
      </c>
      <c r="E86" s="6" t="str">
        <f>IF(A86="","",MIN($B$6+$B$7,C86+D86))</f>
        <v/>
      </c>
      <c r="F86" s="6" t="str">
        <f>IF(A86="","",E86-D86)</f>
        <v/>
      </c>
      <c r="G86" s="17" t="str">
        <f>IF(A86="","",ROUND(C86+D86-E86,2))</f>
        <v/>
      </c>
    </row>
    <row r="87" spans="1:7" x14ac:dyDescent="0.25">
      <c r="A87" s="20" t="str">
        <f>IF(A86="","",IF(N(G86)&lt;=0,"",A86+1))</f>
        <v/>
      </c>
      <c r="B87" s="15" t="str">
        <f>IF(A87="","",EDATE($B$8,A87-1))</f>
        <v/>
      </c>
      <c r="C87" s="6" t="str">
        <f>IF(A87="","",G86)</f>
        <v/>
      </c>
      <c r="D87" s="6" t="str">
        <f>IF(A87="","",ROUND(C87*$B$5,2))</f>
        <v/>
      </c>
      <c r="E87" s="6" t="str">
        <f>IF(A87="","",MIN($B$6+$B$7,C87+D87))</f>
        <v/>
      </c>
      <c r="F87" s="6" t="str">
        <f>IF(A87="","",E87-D87)</f>
        <v/>
      </c>
      <c r="G87" s="17" t="str">
        <f>IF(A87="","",ROUND(C87+D87-E87,2))</f>
        <v/>
      </c>
    </row>
    <row r="88" spans="1:7" x14ac:dyDescent="0.25">
      <c r="A88" s="20" t="str">
        <f>IF(A87="","",IF(N(G87)&lt;=0,"",A87+1))</f>
        <v/>
      </c>
      <c r="B88" s="15" t="str">
        <f>IF(A88="","",EDATE($B$8,A88-1))</f>
        <v/>
      </c>
      <c r="C88" s="6" t="str">
        <f>IF(A88="","",G87)</f>
        <v/>
      </c>
      <c r="D88" s="6" t="str">
        <f>IF(A88="","",ROUND(C88*$B$5,2))</f>
        <v/>
      </c>
      <c r="E88" s="6" t="str">
        <f>IF(A88="","",MIN($B$6+$B$7,C88+D88))</f>
        <v/>
      </c>
      <c r="F88" s="6" t="str">
        <f>IF(A88="","",E88-D88)</f>
        <v/>
      </c>
      <c r="G88" s="17" t="str">
        <f>IF(A88="","",ROUND(C88+D88-E88,2))</f>
        <v/>
      </c>
    </row>
    <row r="89" spans="1:7" x14ac:dyDescent="0.25">
      <c r="A89" s="20" t="str">
        <f>IF(A88="","",IF(N(G88)&lt;=0,"",A88+1))</f>
        <v/>
      </c>
      <c r="B89" s="15" t="str">
        <f>IF(A89="","",EDATE($B$8,A89-1))</f>
        <v/>
      </c>
      <c r="C89" s="6" t="str">
        <f>IF(A89="","",G88)</f>
        <v/>
      </c>
      <c r="D89" s="6" t="str">
        <f>IF(A89="","",ROUND(C89*$B$5,2))</f>
        <v/>
      </c>
      <c r="E89" s="6" t="str">
        <f>IF(A89="","",MIN($B$6+$B$7,C89+D89))</f>
        <v/>
      </c>
      <c r="F89" s="6" t="str">
        <f>IF(A89="","",E89-D89)</f>
        <v/>
      </c>
      <c r="G89" s="17" t="str">
        <f>IF(A89="","",ROUND(C89+D89-E89,2))</f>
        <v/>
      </c>
    </row>
    <row r="90" spans="1:7" x14ac:dyDescent="0.25">
      <c r="A90" s="20" t="str">
        <f>IF(A89="","",IF(N(G89)&lt;=0,"",A89+1))</f>
        <v/>
      </c>
      <c r="B90" s="15" t="str">
        <f>IF(A90="","",EDATE($B$8,A90-1))</f>
        <v/>
      </c>
      <c r="C90" s="6" t="str">
        <f>IF(A90="","",G89)</f>
        <v/>
      </c>
      <c r="D90" s="6" t="str">
        <f>IF(A90="","",ROUND(C90*$B$5,2))</f>
        <v/>
      </c>
      <c r="E90" s="6" t="str">
        <f>IF(A90="","",MIN($B$6+$B$7,C90+D90))</f>
        <v/>
      </c>
      <c r="F90" s="6" t="str">
        <f>IF(A90="","",E90-D90)</f>
        <v/>
      </c>
      <c r="G90" s="17" t="str">
        <f>IF(A90="","",ROUND(C90+D90-E90,2))</f>
        <v/>
      </c>
    </row>
    <row r="91" spans="1:7" x14ac:dyDescent="0.25">
      <c r="A91" s="20" t="str">
        <f>IF(A90="","",IF(N(G90)&lt;=0,"",A90+1))</f>
        <v/>
      </c>
      <c r="B91" s="15" t="str">
        <f>IF(A91="","",EDATE($B$8,A91-1))</f>
        <v/>
      </c>
      <c r="C91" s="6" t="str">
        <f>IF(A91="","",G90)</f>
        <v/>
      </c>
      <c r="D91" s="6" t="str">
        <f>IF(A91="","",ROUND(C91*$B$5,2))</f>
        <v/>
      </c>
      <c r="E91" s="6" t="str">
        <f>IF(A91="","",MIN($B$6+$B$7,C91+D91))</f>
        <v/>
      </c>
      <c r="F91" s="6" t="str">
        <f>IF(A91="","",E91-D91)</f>
        <v/>
      </c>
      <c r="G91" s="17" t="str">
        <f>IF(A91="","",ROUND(C91+D91-E91,2))</f>
        <v/>
      </c>
    </row>
    <row r="92" spans="1:7" x14ac:dyDescent="0.25">
      <c r="A92" s="20" t="str">
        <f>IF(A91="","",IF(N(G91)&lt;=0,"",A91+1))</f>
        <v/>
      </c>
      <c r="B92" s="15" t="str">
        <f>IF(A92="","",EDATE($B$8,A92-1))</f>
        <v/>
      </c>
      <c r="C92" s="6" t="str">
        <f>IF(A92="","",G91)</f>
        <v/>
      </c>
      <c r="D92" s="6" t="str">
        <f>IF(A92="","",ROUND(C92*$B$5,2))</f>
        <v/>
      </c>
      <c r="E92" s="6" t="str">
        <f>IF(A92="","",MIN($B$6+$B$7,C92+D92))</f>
        <v/>
      </c>
      <c r="F92" s="6" t="str">
        <f>IF(A92="","",E92-D92)</f>
        <v/>
      </c>
      <c r="G92" s="17" t="str">
        <f>IF(A92="","",ROUND(C92+D92-E92,2))</f>
        <v/>
      </c>
    </row>
    <row r="93" spans="1:7" x14ac:dyDescent="0.25">
      <c r="A93" s="20" t="str">
        <f>IF(A92="","",IF(N(G92)&lt;=0,"",A92+1))</f>
        <v/>
      </c>
      <c r="B93" s="15" t="str">
        <f>IF(A93="","",EDATE($B$8,A93-1))</f>
        <v/>
      </c>
      <c r="C93" s="6" t="str">
        <f>IF(A93="","",G92)</f>
        <v/>
      </c>
      <c r="D93" s="6" t="str">
        <f>IF(A93="","",ROUND(C93*$B$5,2))</f>
        <v/>
      </c>
      <c r="E93" s="6" t="str">
        <f>IF(A93="","",MIN($B$6+$B$7,C93+D93))</f>
        <v/>
      </c>
      <c r="F93" s="6" t="str">
        <f>IF(A93="","",E93-D93)</f>
        <v/>
      </c>
      <c r="G93" s="17" t="str">
        <f>IF(A93="","",ROUND(C93+D93-E93,2))</f>
        <v/>
      </c>
    </row>
    <row r="94" spans="1:7" x14ac:dyDescent="0.25">
      <c r="A94" s="20" t="str">
        <f>IF(A93="","",IF(N(G93)&lt;=0,"",A93+1))</f>
        <v/>
      </c>
      <c r="B94" s="15" t="str">
        <f>IF(A94="","",EDATE($B$8,A94-1))</f>
        <v/>
      </c>
      <c r="C94" s="6" t="str">
        <f>IF(A94="","",G93)</f>
        <v/>
      </c>
      <c r="D94" s="6" t="str">
        <f>IF(A94="","",ROUND(C94*$B$5,2))</f>
        <v/>
      </c>
      <c r="E94" s="6" t="str">
        <f>IF(A94="","",MIN($B$6+$B$7,C94+D94))</f>
        <v/>
      </c>
      <c r="F94" s="6" t="str">
        <f>IF(A94="","",E94-D94)</f>
        <v/>
      </c>
      <c r="G94" s="17" t="str">
        <f>IF(A94="","",ROUND(C94+D94-E94,2))</f>
        <v/>
      </c>
    </row>
    <row r="95" spans="1:7" x14ac:dyDescent="0.25">
      <c r="A95" s="20" t="str">
        <f>IF(A94="","",IF(N(G94)&lt;=0,"",A94+1))</f>
        <v/>
      </c>
      <c r="B95" s="15" t="str">
        <f>IF(A95="","",EDATE($B$8,A95-1))</f>
        <v/>
      </c>
      <c r="C95" s="6" t="str">
        <f>IF(A95="","",G94)</f>
        <v/>
      </c>
      <c r="D95" s="6" t="str">
        <f>IF(A95="","",ROUND(C95*$B$5,2))</f>
        <v/>
      </c>
      <c r="E95" s="6" t="str">
        <f>IF(A95="","",MIN($B$6+$B$7,C95+D95))</f>
        <v/>
      </c>
      <c r="F95" s="6" t="str">
        <f>IF(A95="","",E95-D95)</f>
        <v/>
      </c>
      <c r="G95" s="17" t="str">
        <f>IF(A95="","",ROUND(C95+D95-E95,2))</f>
        <v/>
      </c>
    </row>
    <row r="96" spans="1:7" x14ac:dyDescent="0.25">
      <c r="A96" s="20" t="str">
        <f>IF(A95="","",IF(N(G95)&lt;=0,"",A95+1))</f>
        <v/>
      </c>
      <c r="B96" s="15" t="str">
        <f>IF(A96="","",EDATE($B$8,A96-1))</f>
        <v/>
      </c>
      <c r="C96" s="6" t="str">
        <f>IF(A96="","",G95)</f>
        <v/>
      </c>
      <c r="D96" s="6" t="str">
        <f>IF(A96="","",ROUND(C96*$B$5,2))</f>
        <v/>
      </c>
      <c r="E96" s="6" t="str">
        <f>IF(A96="","",MIN($B$6+$B$7,C96+D96))</f>
        <v/>
      </c>
      <c r="F96" s="6" t="str">
        <f>IF(A96="","",E96-D96)</f>
        <v/>
      </c>
      <c r="G96" s="17" t="str">
        <f>IF(A96="","",ROUND(C96+D96-E96,2))</f>
        <v/>
      </c>
    </row>
    <row r="97" spans="1:7" x14ac:dyDescent="0.25">
      <c r="A97" s="20" t="str">
        <f>IF(A96="","",IF(N(G96)&lt;=0,"",A96+1))</f>
        <v/>
      </c>
      <c r="B97" s="15" t="str">
        <f>IF(A97="","",EDATE($B$8,A97-1))</f>
        <v/>
      </c>
      <c r="C97" s="6" t="str">
        <f>IF(A97="","",G96)</f>
        <v/>
      </c>
      <c r="D97" s="6" t="str">
        <f>IF(A97="","",ROUND(C97*$B$5,2))</f>
        <v/>
      </c>
      <c r="E97" s="6" t="str">
        <f>IF(A97="","",MIN($B$6+$B$7,C97+D97))</f>
        <v/>
      </c>
      <c r="F97" s="6" t="str">
        <f>IF(A97="","",E97-D97)</f>
        <v/>
      </c>
      <c r="G97" s="17" t="str">
        <f>IF(A97="","",ROUND(C97+D97-E97,2))</f>
        <v/>
      </c>
    </row>
    <row r="98" spans="1:7" x14ac:dyDescent="0.25">
      <c r="A98" s="20" t="str">
        <f>IF(A97="","",IF(N(G97)&lt;=0,"",A97+1))</f>
        <v/>
      </c>
      <c r="B98" s="15" t="str">
        <f>IF(A98="","",EDATE($B$8,A98-1))</f>
        <v/>
      </c>
      <c r="C98" s="6" t="str">
        <f>IF(A98="","",G97)</f>
        <v/>
      </c>
      <c r="D98" s="6" t="str">
        <f>IF(A98="","",ROUND(C98*$B$5,2))</f>
        <v/>
      </c>
      <c r="E98" s="6" t="str">
        <f>IF(A98="","",MIN($B$6+$B$7,C98+D98))</f>
        <v/>
      </c>
      <c r="F98" s="6" t="str">
        <f>IF(A98="","",E98-D98)</f>
        <v/>
      </c>
      <c r="G98" s="17" t="str">
        <f>IF(A98="","",ROUND(C98+D98-E98,2))</f>
        <v/>
      </c>
    </row>
    <row r="99" spans="1:7" x14ac:dyDescent="0.25">
      <c r="A99" s="20" t="str">
        <f>IF(A98="","",IF(N(G98)&lt;=0,"",A98+1))</f>
        <v/>
      </c>
      <c r="B99" s="15" t="str">
        <f>IF(A99="","",EDATE($B$8,A99-1))</f>
        <v/>
      </c>
      <c r="C99" s="6" t="str">
        <f>IF(A99="","",G98)</f>
        <v/>
      </c>
      <c r="D99" s="6" t="str">
        <f>IF(A99="","",ROUND(C99*$B$5,2))</f>
        <v/>
      </c>
      <c r="E99" s="6" t="str">
        <f>IF(A99="","",MIN($B$6+$B$7,C99+D99))</f>
        <v/>
      </c>
      <c r="F99" s="6" t="str">
        <f>IF(A99="","",E99-D99)</f>
        <v/>
      </c>
      <c r="G99" s="17" t="str">
        <f>IF(A99="","",ROUND(C99+D99-E99,2))</f>
        <v/>
      </c>
    </row>
    <row r="100" spans="1:7" x14ac:dyDescent="0.25">
      <c r="A100" s="20" t="str">
        <f>IF(A99="","",IF(N(G99)&lt;=0,"",A99+1))</f>
        <v/>
      </c>
      <c r="B100" s="15" t="str">
        <f>IF(A100="","",EDATE($B$8,A100-1))</f>
        <v/>
      </c>
      <c r="C100" s="6" t="str">
        <f>IF(A100="","",G99)</f>
        <v/>
      </c>
      <c r="D100" s="6" t="str">
        <f>IF(A100="","",ROUND(C100*$B$5,2))</f>
        <v/>
      </c>
      <c r="E100" s="6" t="str">
        <f>IF(A100="","",MIN($B$6+$B$7,C100+D100))</f>
        <v/>
      </c>
      <c r="F100" s="6" t="str">
        <f>IF(A100="","",E100-D100)</f>
        <v/>
      </c>
      <c r="G100" s="17" t="str">
        <f>IF(A100="","",ROUND(C100+D100-E100,2))</f>
        <v/>
      </c>
    </row>
    <row r="101" spans="1:7" x14ac:dyDescent="0.25">
      <c r="A101" s="20" t="str">
        <f>IF(A100="","",IF(N(G100)&lt;=0,"",A100+1))</f>
        <v/>
      </c>
      <c r="B101" s="15" t="str">
        <f>IF(A101="","",EDATE($B$8,A101-1))</f>
        <v/>
      </c>
      <c r="C101" s="6" t="str">
        <f>IF(A101="","",G100)</f>
        <v/>
      </c>
      <c r="D101" s="6" t="str">
        <f>IF(A101="","",ROUND(C101*$B$5,2))</f>
        <v/>
      </c>
      <c r="E101" s="6" t="str">
        <f>IF(A101="","",MIN($B$6+$B$7,C101+D101))</f>
        <v/>
      </c>
      <c r="F101" s="6" t="str">
        <f>IF(A101="","",E101-D101)</f>
        <v/>
      </c>
      <c r="G101" s="17" t="str">
        <f>IF(A101="","",ROUND(C101+D101-E101,2))</f>
        <v/>
      </c>
    </row>
    <row r="102" spans="1:7" x14ac:dyDescent="0.25">
      <c r="A102" s="20" t="str">
        <f>IF(A101="","",IF(N(G101)&lt;=0,"",A101+1))</f>
        <v/>
      </c>
      <c r="B102" s="15" t="str">
        <f>IF(A102="","",EDATE($B$8,A102-1))</f>
        <v/>
      </c>
      <c r="C102" s="6" t="str">
        <f>IF(A102="","",G101)</f>
        <v/>
      </c>
      <c r="D102" s="6" t="str">
        <f>IF(A102="","",ROUND(C102*$B$5,2))</f>
        <v/>
      </c>
      <c r="E102" s="6" t="str">
        <f>IF(A102="","",MIN($B$6+$B$7,C102+D102))</f>
        <v/>
      </c>
      <c r="F102" s="6" t="str">
        <f>IF(A102="","",E102-D102)</f>
        <v/>
      </c>
      <c r="G102" s="17" t="str">
        <f>IF(A102="","",ROUND(C102+D102-E102,2))</f>
        <v/>
      </c>
    </row>
    <row r="103" spans="1:7" x14ac:dyDescent="0.25">
      <c r="A103" s="20" t="str">
        <f>IF(A102="","",IF(N(G102)&lt;=0,"",A102+1))</f>
        <v/>
      </c>
      <c r="B103" s="15" t="str">
        <f>IF(A103="","",EDATE($B$8,A103-1))</f>
        <v/>
      </c>
      <c r="C103" s="6" t="str">
        <f>IF(A103="","",G102)</f>
        <v/>
      </c>
      <c r="D103" s="6" t="str">
        <f>IF(A103="","",ROUND(C103*$B$5,2))</f>
        <v/>
      </c>
      <c r="E103" s="6" t="str">
        <f>IF(A103="","",MIN($B$6+$B$7,C103+D103))</f>
        <v/>
      </c>
      <c r="F103" s="6" t="str">
        <f>IF(A103="","",E103-D103)</f>
        <v/>
      </c>
      <c r="G103" s="17" t="str">
        <f>IF(A103="","",ROUND(C103+D103-E103,2))</f>
        <v/>
      </c>
    </row>
    <row r="104" spans="1:7" x14ac:dyDescent="0.25">
      <c r="A104" s="20" t="str">
        <f>IF(A103="","",IF(N(G103)&lt;=0,"",A103+1))</f>
        <v/>
      </c>
      <c r="B104" s="15" t="str">
        <f>IF(A104="","",EDATE($B$8,A104-1))</f>
        <v/>
      </c>
      <c r="C104" s="6" t="str">
        <f>IF(A104="","",G103)</f>
        <v/>
      </c>
      <c r="D104" s="6" t="str">
        <f>IF(A104="","",ROUND(C104*$B$5,2))</f>
        <v/>
      </c>
      <c r="E104" s="6" t="str">
        <f>IF(A104="","",MIN($B$6+$B$7,C104+D104))</f>
        <v/>
      </c>
      <c r="F104" s="6" t="str">
        <f>IF(A104="","",E104-D104)</f>
        <v/>
      </c>
      <c r="G104" s="17" t="str">
        <f>IF(A104="","",ROUND(C104+D104-E104,2))</f>
        <v/>
      </c>
    </row>
    <row r="105" spans="1:7" x14ac:dyDescent="0.25">
      <c r="A105" s="20" t="str">
        <f>IF(A104="","",IF(N(G104)&lt;=0,"",A104+1))</f>
        <v/>
      </c>
      <c r="B105" s="15" t="str">
        <f>IF(A105="","",EDATE($B$8,A105-1))</f>
        <v/>
      </c>
      <c r="C105" s="6" t="str">
        <f>IF(A105="","",G104)</f>
        <v/>
      </c>
      <c r="D105" s="6" t="str">
        <f>IF(A105="","",ROUND(C105*$B$5,2))</f>
        <v/>
      </c>
      <c r="E105" s="6" t="str">
        <f>IF(A105="","",MIN($B$6+$B$7,C105+D105))</f>
        <v/>
      </c>
      <c r="F105" s="6" t="str">
        <f>IF(A105="","",E105-D105)</f>
        <v/>
      </c>
      <c r="G105" s="17" t="str">
        <f>IF(A105="","",ROUND(C105+D105-E105,2))</f>
        <v/>
      </c>
    </row>
    <row r="106" spans="1:7" x14ac:dyDescent="0.25">
      <c r="A106" s="20" t="str">
        <f>IF(A105="","",IF(N(G105)&lt;=0,"",A105+1))</f>
        <v/>
      </c>
      <c r="B106" s="15" t="str">
        <f>IF(A106="","",EDATE($B$8,A106-1))</f>
        <v/>
      </c>
      <c r="C106" s="6" t="str">
        <f>IF(A106="","",G105)</f>
        <v/>
      </c>
      <c r="D106" s="6" t="str">
        <f>IF(A106="","",ROUND(C106*$B$5,2))</f>
        <v/>
      </c>
      <c r="E106" s="6" t="str">
        <f>IF(A106="","",MIN($B$6+$B$7,C106+D106))</f>
        <v/>
      </c>
      <c r="F106" s="6" t="str">
        <f>IF(A106="","",E106-D106)</f>
        <v/>
      </c>
      <c r="G106" s="17" t="str">
        <f>IF(A106="","",ROUND(C106+D106-E106,2))</f>
        <v/>
      </c>
    </row>
    <row r="107" spans="1:7" x14ac:dyDescent="0.25">
      <c r="A107" s="20" t="str">
        <f>IF(A106="","",IF(N(G106)&lt;=0,"",A106+1))</f>
        <v/>
      </c>
      <c r="B107" s="15" t="str">
        <f>IF(A107="","",EDATE($B$8,A107-1))</f>
        <v/>
      </c>
      <c r="C107" s="6" t="str">
        <f>IF(A107="","",G106)</f>
        <v/>
      </c>
      <c r="D107" s="6" t="str">
        <f>IF(A107="","",ROUND(C107*$B$5,2))</f>
        <v/>
      </c>
      <c r="E107" s="6" t="str">
        <f>IF(A107="","",MIN($B$6+$B$7,C107+D107))</f>
        <v/>
      </c>
      <c r="F107" s="6" t="str">
        <f>IF(A107="","",E107-D107)</f>
        <v/>
      </c>
      <c r="G107" s="17" t="str">
        <f>IF(A107="","",ROUND(C107+D107-E107,2))</f>
        <v/>
      </c>
    </row>
    <row r="108" spans="1:7" x14ac:dyDescent="0.25">
      <c r="A108" s="20" t="str">
        <f>IF(A107="","",IF(N(G107)&lt;=0,"",A107+1))</f>
        <v/>
      </c>
      <c r="B108" s="15" t="str">
        <f>IF(A108="","",EDATE($B$8,A108-1))</f>
        <v/>
      </c>
      <c r="C108" s="6" t="str">
        <f>IF(A108="","",G107)</f>
        <v/>
      </c>
      <c r="D108" s="6" t="str">
        <f>IF(A108="","",ROUND(C108*$B$5,2))</f>
        <v/>
      </c>
      <c r="E108" s="6" t="str">
        <f>IF(A108="","",MIN($B$6+$B$7,C108+D108))</f>
        <v/>
      </c>
      <c r="F108" s="6" t="str">
        <f>IF(A108="","",E108-D108)</f>
        <v/>
      </c>
      <c r="G108" s="17" t="str">
        <f>IF(A108="","",ROUND(C108+D108-E108,2))</f>
        <v/>
      </c>
    </row>
    <row r="109" spans="1:7" x14ac:dyDescent="0.25">
      <c r="A109" s="20" t="str">
        <f>IF(A108="","",IF(N(G108)&lt;=0,"",A108+1))</f>
        <v/>
      </c>
      <c r="B109" s="15" t="str">
        <f>IF(A109="","",EDATE($B$8,A109-1))</f>
        <v/>
      </c>
      <c r="C109" s="6" t="str">
        <f>IF(A109="","",G108)</f>
        <v/>
      </c>
      <c r="D109" s="6" t="str">
        <f>IF(A109="","",ROUND(C109*$B$5,2))</f>
        <v/>
      </c>
      <c r="E109" s="6" t="str">
        <f>IF(A109="","",MIN($B$6+$B$7,C109+D109))</f>
        <v/>
      </c>
      <c r="F109" s="6" t="str">
        <f>IF(A109="","",E109-D109)</f>
        <v/>
      </c>
      <c r="G109" s="17" t="str">
        <f>IF(A109="","",ROUND(C109+D109-E109,2))</f>
        <v/>
      </c>
    </row>
    <row r="110" spans="1:7" x14ac:dyDescent="0.25">
      <c r="A110" s="20" t="str">
        <f>IF(A109="","",IF(N(G109)&lt;=0,"",A109+1))</f>
        <v/>
      </c>
      <c r="B110" s="15" t="str">
        <f>IF(A110="","",EDATE($B$8,A110-1))</f>
        <v/>
      </c>
      <c r="C110" s="6" t="str">
        <f>IF(A110="","",G109)</f>
        <v/>
      </c>
      <c r="D110" s="6" t="str">
        <f>IF(A110="","",ROUND(C110*$B$5,2))</f>
        <v/>
      </c>
      <c r="E110" s="6" t="str">
        <f>IF(A110="","",MIN($B$6+$B$7,C110+D110))</f>
        <v/>
      </c>
      <c r="F110" s="6" t="str">
        <f>IF(A110="","",E110-D110)</f>
        <v/>
      </c>
      <c r="G110" s="17" t="str">
        <f>IF(A110="","",ROUND(C110+D110-E110,2))</f>
        <v/>
      </c>
    </row>
    <row r="111" spans="1:7" x14ac:dyDescent="0.25">
      <c r="A111" s="20" t="str">
        <f>IF(A110="","",IF(N(G110)&lt;=0,"",A110+1))</f>
        <v/>
      </c>
      <c r="B111" s="15" t="str">
        <f>IF(A111="","",EDATE($B$8,A111-1))</f>
        <v/>
      </c>
      <c r="C111" s="6" t="str">
        <f>IF(A111="","",G110)</f>
        <v/>
      </c>
      <c r="D111" s="6" t="str">
        <f>IF(A111="","",ROUND(C111*$B$5,2))</f>
        <v/>
      </c>
      <c r="E111" s="6" t="str">
        <f>IF(A111="","",MIN($B$6+$B$7,C111+D111))</f>
        <v/>
      </c>
      <c r="F111" s="6" t="str">
        <f>IF(A111="","",E111-D111)</f>
        <v/>
      </c>
      <c r="G111" s="17" t="str">
        <f>IF(A111="","",ROUND(C111+D111-E111,2))</f>
        <v/>
      </c>
    </row>
    <row r="112" spans="1:7" x14ac:dyDescent="0.25">
      <c r="A112" s="20" t="str">
        <f>IF(A111="","",IF(N(G111)&lt;=0,"",A111+1))</f>
        <v/>
      </c>
      <c r="B112" s="15" t="str">
        <f>IF(A112="","",EDATE($B$8,A112-1))</f>
        <v/>
      </c>
      <c r="C112" s="6" t="str">
        <f>IF(A112="","",G111)</f>
        <v/>
      </c>
      <c r="D112" s="6" t="str">
        <f>IF(A112="","",ROUND(C112*$B$5,2))</f>
        <v/>
      </c>
      <c r="E112" s="6" t="str">
        <f>IF(A112="","",MIN($B$6+$B$7,C112+D112))</f>
        <v/>
      </c>
      <c r="F112" s="6" t="str">
        <f>IF(A112="","",E112-D112)</f>
        <v/>
      </c>
      <c r="G112" s="17" t="str">
        <f>IF(A112="","",ROUND(C112+D112-E112,2))</f>
        <v/>
      </c>
    </row>
    <row r="113" spans="1:7" x14ac:dyDescent="0.25">
      <c r="A113" s="20" t="str">
        <f>IF(A112="","",IF(N(G112)&lt;=0,"",A112+1))</f>
        <v/>
      </c>
      <c r="B113" s="15" t="str">
        <f>IF(A113="","",EDATE($B$8,A113-1))</f>
        <v/>
      </c>
      <c r="C113" s="6" t="str">
        <f>IF(A113="","",G112)</f>
        <v/>
      </c>
      <c r="D113" s="6" t="str">
        <f>IF(A113="","",ROUND(C113*$B$5,2))</f>
        <v/>
      </c>
      <c r="E113" s="6" t="str">
        <f>IF(A113="","",MIN($B$6+$B$7,C113+D113))</f>
        <v/>
      </c>
      <c r="F113" s="6" t="str">
        <f>IF(A113="","",E113-D113)</f>
        <v/>
      </c>
      <c r="G113" s="17" t="str">
        <f>IF(A113="","",ROUND(C113+D113-E113,2))</f>
        <v/>
      </c>
    </row>
    <row r="114" spans="1:7" x14ac:dyDescent="0.25">
      <c r="A114" s="20" t="str">
        <f>IF(A113="","",IF(N(G113)&lt;=0,"",A113+1))</f>
        <v/>
      </c>
      <c r="B114" s="15" t="str">
        <f>IF(A114="","",EDATE($B$8,A114-1))</f>
        <v/>
      </c>
      <c r="C114" s="6" t="str">
        <f>IF(A114="","",G113)</f>
        <v/>
      </c>
      <c r="D114" s="6" t="str">
        <f>IF(A114="","",ROUND(C114*$B$5,2))</f>
        <v/>
      </c>
      <c r="E114" s="6" t="str">
        <f>IF(A114="","",MIN($B$6+$B$7,C114+D114))</f>
        <v/>
      </c>
      <c r="F114" s="6" t="str">
        <f>IF(A114="","",E114-D114)</f>
        <v/>
      </c>
      <c r="G114" s="17" t="str">
        <f>IF(A114="","",ROUND(C114+D114-E114,2))</f>
        <v/>
      </c>
    </row>
    <row r="115" spans="1:7" x14ac:dyDescent="0.25">
      <c r="A115" s="20" t="str">
        <f>IF(A114="","",IF(N(G114)&lt;=0,"",A114+1))</f>
        <v/>
      </c>
      <c r="B115" s="15" t="str">
        <f>IF(A115="","",EDATE($B$8,A115-1))</f>
        <v/>
      </c>
      <c r="C115" s="6" t="str">
        <f>IF(A115="","",G114)</f>
        <v/>
      </c>
      <c r="D115" s="6" t="str">
        <f>IF(A115="","",ROUND(C115*$B$5,2))</f>
        <v/>
      </c>
      <c r="E115" s="6" t="str">
        <f>IF(A115="","",MIN($B$6+$B$7,C115+D115))</f>
        <v/>
      </c>
      <c r="F115" s="6" t="str">
        <f>IF(A115="","",E115-D115)</f>
        <v/>
      </c>
      <c r="G115" s="17" t="str">
        <f>IF(A115="","",ROUND(C115+D115-E115,2))</f>
        <v/>
      </c>
    </row>
    <row r="116" spans="1:7" x14ac:dyDescent="0.25">
      <c r="A116" s="20" t="str">
        <f>IF(A115="","",IF(N(G115)&lt;=0,"",A115+1))</f>
        <v/>
      </c>
      <c r="B116" s="15" t="str">
        <f>IF(A116="","",EDATE($B$8,A116-1))</f>
        <v/>
      </c>
      <c r="C116" s="6" t="str">
        <f>IF(A116="","",G115)</f>
        <v/>
      </c>
      <c r="D116" s="6" t="str">
        <f>IF(A116="","",ROUND(C116*$B$5,2))</f>
        <v/>
      </c>
      <c r="E116" s="6" t="str">
        <f>IF(A116="","",MIN($B$6+$B$7,C116+D116))</f>
        <v/>
      </c>
      <c r="F116" s="6" t="str">
        <f>IF(A116="","",E116-D116)</f>
        <v/>
      </c>
      <c r="G116" s="17" t="str">
        <f>IF(A116="","",ROUND(C116+D116-E116,2))</f>
        <v/>
      </c>
    </row>
    <row r="117" spans="1:7" x14ac:dyDescent="0.25">
      <c r="A117" s="20" t="str">
        <f>IF(A116="","",IF(N(G116)&lt;=0,"",A116+1))</f>
        <v/>
      </c>
      <c r="B117" s="15" t="str">
        <f>IF(A117="","",EDATE($B$8,A117-1))</f>
        <v/>
      </c>
      <c r="C117" s="6" t="str">
        <f>IF(A117="","",G116)</f>
        <v/>
      </c>
      <c r="D117" s="6" t="str">
        <f>IF(A117="","",ROUND(C117*$B$5,2))</f>
        <v/>
      </c>
      <c r="E117" s="6" t="str">
        <f>IF(A117="","",MIN($B$6+$B$7,C117+D117))</f>
        <v/>
      </c>
      <c r="F117" s="6" t="str">
        <f>IF(A117="","",E117-D117)</f>
        <v/>
      </c>
      <c r="G117" s="17" t="str">
        <f>IF(A117="","",ROUND(C117+D117-E117,2))</f>
        <v/>
      </c>
    </row>
    <row r="118" spans="1:7" x14ac:dyDescent="0.25">
      <c r="A118" s="20" t="str">
        <f>IF(A117="","",IF(N(G117)&lt;=0,"",A117+1))</f>
        <v/>
      </c>
      <c r="B118" s="15" t="str">
        <f>IF(A118="","",EDATE($B$8,A118-1))</f>
        <v/>
      </c>
      <c r="C118" s="6" t="str">
        <f>IF(A118="","",G117)</f>
        <v/>
      </c>
      <c r="D118" s="6" t="str">
        <f>IF(A118="","",ROUND(C118*$B$5,2))</f>
        <v/>
      </c>
      <c r="E118" s="6" t="str">
        <f>IF(A118="","",MIN($B$6+$B$7,C118+D118))</f>
        <v/>
      </c>
      <c r="F118" s="6" t="str">
        <f>IF(A118="","",E118-D118)</f>
        <v/>
      </c>
      <c r="G118" s="17" t="str">
        <f>IF(A118="","",ROUND(C118+D118-E118,2))</f>
        <v/>
      </c>
    </row>
    <row r="119" spans="1:7" x14ac:dyDescent="0.25">
      <c r="A119" s="20" t="str">
        <f>IF(A118="","",IF(N(G118)&lt;=0,"",A118+1))</f>
        <v/>
      </c>
      <c r="B119" s="15" t="str">
        <f>IF(A119="","",EDATE($B$8,A119-1))</f>
        <v/>
      </c>
      <c r="C119" s="6" t="str">
        <f>IF(A119="","",G118)</f>
        <v/>
      </c>
      <c r="D119" s="6" t="str">
        <f>IF(A119="","",ROUND(C119*$B$5,2))</f>
        <v/>
      </c>
      <c r="E119" s="6" t="str">
        <f>IF(A119="","",MIN($B$6+$B$7,C119+D119))</f>
        <v/>
      </c>
      <c r="F119" s="6" t="str">
        <f>IF(A119="","",E119-D119)</f>
        <v/>
      </c>
      <c r="G119" s="17" t="str">
        <f>IF(A119="","",ROUND(C119+D119-E119,2))</f>
        <v/>
      </c>
    </row>
    <row r="120" spans="1:7" x14ac:dyDescent="0.25">
      <c r="A120" s="20" t="str">
        <f>IF(A119="","",IF(N(G119)&lt;=0,"",A119+1))</f>
        <v/>
      </c>
      <c r="B120" s="15" t="str">
        <f>IF(A120="","",EDATE($B$8,A120-1))</f>
        <v/>
      </c>
      <c r="C120" s="6" t="str">
        <f>IF(A120="","",G119)</f>
        <v/>
      </c>
      <c r="D120" s="6" t="str">
        <f>IF(A120="","",ROUND(C120*$B$5,2))</f>
        <v/>
      </c>
      <c r="E120" s="6" t="str">
        <f>IF(A120="","",MIN($B$6+$B$7,C120+D120))</f>
        <v/>
      </c>
      <c r="F120" s="6" t="str">
        <f>IF(A120="","",E120-D120)</f>
        <v/>
      </c>
      <c r="G120" s="17" t="str">
        <f>IF(A120="","",ROUND(C120+D120-E120,2))</f>
        <v/>
      </c>
    </row>
    <row r="121" spans="1:7" x14ac:dyDescent="0.25">
      <c r="A121" s="20" t="str">
        <f>IF(A120="","",IF(N(G120)&lt;=0,"",A120+1))</f>
        <v/>
      </c>
      <c r="B121" s="15" t="str">
        <f>IF(A121="","",EDATE($B$8,A121-1))</f>
        <v/>
      </c>
      <c r="C121" s="6" t="str">
        <f>IF(A121="","",G120)</f>
        <v/>
      </c>
      <c r="D121" s="6" t="str">
        <f>IF(A121="","",ROUND(C121*$B$5,2))</f>
        <v/>
      </c>
      <c r="E121" s="6" t="str">
        <f>IF(A121="","",MIN($B$6+$B$7,C121+D121))</f>
        <v/>
      </c>
      <c r="F121" s="6" t="str">
        <f>IF(A121="","",E121-D121)</f>
        <v/>
      </c>
      <c r="G121" s="17" t="str">
        <f>IF(A121="","",ROUND(C121+D121-E121,2))</f>
        <v/>
      </c>
    </row>
    <row r="122" spans="1:7" x14ac:dyDescent="0.25">
      <c r="A122" s="20" t="str">
        <f>IF(A121="","",IF(N(G121)&lt;=0,"",A121+1))</f>
        <v/>
      </c>
      <c r="B122" s="15" t="str">
        <f>IF(A122="","",EDATE($B$8,A122-1))</f>
        <v/>
      </c>
      <c r="C122" s="6" t="str">
        <f>IF(A122="","",G121)</f>
        <v/>
      </c>
      <c r="D122" s="6" t="str">
        <f>IF(A122="","",ROUND(C122*$B$5,2))</f>
        <v/>
      </c>
      <c r="E122" s="6" t="str">
        <f>IF(A122="","",MIN($B$6+$B$7,C122+D122))</f>
        <v/>
      </c>
      <c r="F122" s="6" t="str">
        <f>IF(A122="","",E122-D122)</f>
        <v/>
      </c>
      <c r="G122" s="17" t="str">
        <f>IF(A122="","",ROUND(C122+D122-E122,2))</f>
        <v/>
      </c>
    </row>
    <row r="123" spans="1:7" x14ac:dyDescent="0.25">
      <c r="A123" s="20" t="str">
        <f>IF(A122="","",IF(N(G122)&lt;=0,"",A122+1))</f>
        <v/>
      </c>
      <c r="B123" s="15" t="str">
        <f>IF(A123="","",EDATE($B$8,A123-1))</f>
        <v/>
      </c>
      <c r="C123" s="6" t="str">
        <f>IF(A123="","",G122)</f>
        <v/>
      </c>
      <c r="D123" s="6" t="str">
        <f>IF(A123="","",ROUND(C123*$B$5,2))</f>
        <v/>
      </c>
      <c r="E123" s="6" t="str">
        <f>IF(A123="","",MIN($B$6+$B$7,C123+D123))</f>
        <v/>
      </c>
      <c r="F123" s="6" t="str">
        <f>IF(A123="","",E123-D123)</f>
        <v/>
      </c>
      <c r="G123" s="17" t="str">
        <f>IF(A123="","",ROUND(C123+D123-E123,2))</f>
        <v/>
      </c>
    </row>
    <row r="124" spans="1:7" x14ac:dyDescent="0.25">
      <c r="A124" s="20" t="str">
        <f>IF(A123="","",IF(N(G123)&lt;=0,"",A123+1))</f>
        <v/>
      </c>
      <c r="B124" s="15" t="str">
        <f>IF(A124="","",EDATE($B$8,A124-1))</f>
        <v/>
      </c>
      <c r="C124" s="6" t="str">
        <f>IF(A124="","",G123)</f>
        <v/>
      </c>
      <c r="D124" s="6" t="str">
        <f>IF(A124="","",ROUND(C124*$B$5,2))</f>
        <v/>
      </c>
      <c r="E124" s="6" t="str">
        <f>IF(A124="","",MIN($B$6+$B$7,C124+D124))</f>
        <v/>
      </c>
      <c r="F124" s="6" t="str">
        <f>IF(A124="","",E124-D124)</f>
        <v/>
      </c>
      <c r="G124" s="17" t="str">
        <f>IF(A124="","",ROUND(C124+D124-E124,2))</f>
        <v/>
      </c>
    </row>
    <row r="125" spans="1:7" x14ac:dyDescent="0.25">
      <c r="A125" s="20" t="str">
        <f>IF(A124="","",IF(N(G124)&lt;=0,"",A124+1))</f>
        <v/>
      </c>
      <c r="B125" s="15" t="str">
        <f>IF(A125="","",EDATE($B$8,A125-1))</f>
        <v/>
      </c>
      <c r="C125" s="6" t="str">
        <f>IF(A125="","",G124)</f>
        <v/>
      </c>
      <c r="D125" s="6" t="str">
        <f>IF(A125="","",ROUND(C125*$B$5,2))</f>
        <v/>
      </c>
      <c r="E125" s="6" t="str">
        <f>IF(A125="","",MIN($B$6+$B$7,C125+D125))</f>
        <v/>
      </c>
      <c r="F125" s="6" t="str">
        <f>IF(A125="","",E125-D125)</f>
        <v/>
      </c>
      <c r="G125" s="17" t="str">
        <f>IF(A125="","",ROUND(C125+D125-E125,2))</f>
        <v/>
      </c>
    </row>
    <row r="126" spans="1:7" x14ac:dyDescent="0.25">
      <c r="A126" s="20" t="str">
        <f>IF(A125="","",IF(N(G125)&lt;=0,"",A125+1))</f>
        <v/>
      </c>
      <c r="B126" s="15" t="str">
        <f>IF(A126="","",EDATE($B$8,A126-1))</f>
        <v/>
      </c>
      <c r="C126" s="6" t="str">
        <f>IF(A126="","",G125)</f>
        <v/>
      </c>
      <c r="D126" s="6" t="str">
        <f>IF(A126="","",ROUND(C126*$B$5,2))</f>
        <v/>
      </c>
      <c r="E126" s="6" t="str">
        <f>IF(A126="","",MIN($B$6+$B$7,C126+D126))</f>
        <v/>
      </c>
      <c r="F126" s="6" t="str">
        <f>IF(A126="","",E126-D126)</f>
        <v/>
      </c>
      <c r="G126" s="17" t="str">
        <f>IF(A126="","",ROUND(C126+D126-E126,2))</f>
        <v/>
      </c>
    </row>
    <row r="127" spans="1:7" x14ac:dyDescent="0.25">
      <c r="A127" s="20" t="str">
        <f>IF(A126="","",IF(N(G126)&lt;=0,"",A126+1))</f>
        <v/>
      </c>
      <c r="B127" s="15" t="str">
        <f>IF(A127="","",EDATE($B$8,A127-1))</f>
        <v/>
      </c>
      <c r="C127" s="6" t="str">
        <f>IF(A127="","",G126)</f>
        <v/>
      </c>
      <c r="D127" s="6" t="str">
        <f>IF(A127="","",ROUND(C127*$B$5,2))</f>
        <v/>
      </c>
      <c r="E127" s="6" t="str">
        <f>IF(A127="","",MIN($B$6+$B$7,C127+D127))</f>
        <v/>
      </c>
      <c r="F127" s="6" t="str">
        <f>IF(A127="","",E127-D127)</f>
        <v/>
      </c>
      <c r="G127" s="17" t="str">
        <f>IF(A127="","",ROUND(C127+D127-E127,2))</f>
        <v/>
      </c>
    </row>
    <row r="128" spans="1:7" x14ac:dyDescent="0.25">
      <c r="A128" s="20" t="str">
        <f>IF(A127="","",IF(N(G127)&lt;=0,"",A127+1))</f>
        <v/>
      </c>
      <c r="B128" s="15" t="str">
        <f>IF(A128="","",EDATE($B$8,A128-1))</f>
        <v/>
      </c>
      <c r="C128" s="6" t="str">
        <f>IF(A128="","",G127)</f>
        <v/>
      </c>
      <c r="D128" s="6" t="str">
        <f>IF(A128="","",ROUND(C128*$B$5,2))</f>
        <v/>
      </c>
      <c r="E128" s="6" t="str">
        <f>IF(A128="","",MIN($B$6+$B$7,C128+D128))</f>
        <v/>
      </c>
      <c r="F128" s="6" t="str">
        <f>IF(A128="","",E128-D128)</f>
        <v/>
      </c>
      <c r="G128" s="17" t="str">
        <f>IF(A128="","",ROUND(C128+D128-E128,2))</f>
        <v/>
      </c>
    </row>
    <row r="129" spans="1:7" x14ac:dyDescent="0.25">
      <c r="A129" s="20" t="str">
        <f>IF(A128="","",IF(N(G128)&lt;=0,"",A128+1))</f>
        <v/>
      </c>
      <c r="B129" s="15" t="str">
        <f>IF(A129="","",EDATE($B$8,A129-1))</f>
        <v/>
      </c>
      <c r="C129" s="6" t="str">
        <f>IF(A129="","",G128)</f>
        <v/>
      </c>
      <c r="D129" s="6" t="str">
        <f>IF(A129="","",ROUND(C129*$B$5,2))</f>
        <v/>
      </c>
      <c r="E129" s="6" t="str">
        <f>IF(A129="","",MIN($B$6+$B$7,C129+D129))</f>
        <v/>
      </c>
      <c r="F129" s="6" t="str">
        <f>IF(A129="","",E129-D129)</f>
        <v/>
      </c>
      <c r="G129" s="17" t="str">
        <f>IF(A129="","",ROUND(C129+D129-E129,2))</f>
        <v/>
      </c>
    </row>
    <row r="130" spans="1:7" x14ac:dyDescent="0.25">
      <c r="A130" s="20" t="str">
        <f>IF(A129="","",IF(N(G129)&lt;=0,"",A129+1))</f>
        <v/>
      </c>
      <c r="B130" s="15" t="str">
        <f>IF(A130="","",EDATE($B$8,A130-1))</f>
        <v/>
      </c>
      <c r="C130" s="6" t="str">
        <f>IF(A130="","",G129)</f>
        <v/>
      </c>
      <c r="D130" s="6" t="str">
        <f>IF(A130="","",ROUND(C130*$B$5,2))</f>
        <v/>
      </c>
      <c r="E130" s="6" t="str">
        <f>IF(A130="","",MIN($B$6+$B$7,C130+D130))</f>
        <v/>
      </c>
      <c r="F130" s="6" t="str">
        <f>IF(A130="","",E130-D130)</f>
        <v/>
      </c>
      <c r="G130" s="17" t="str">
        <f>IF(A130="","",ROUND(C130+D130-E130,2))</f>
        <v/>
      </c>
    </row>
    <row r="131" spans="1:7" x14ac:dyDescent="0.25">
      <c r="A131" s="20" t="str">
        <f>IF(A130="","",IF(N(G130)&lt;=0,"",A130+1))</f>
        <v/>
      </c>
      <c r="B131" s="15" t="str">
        <f>IF(A131="","",EDATE($B$8,A131-1))</f>
        <v/>
      </c>
      <c r="C131" s="6" t="str">
        <f>IF(A131="","",G130)</f>
        <v/>
      </c>
      <c r="D131" s="6" t="str">
        <f>IF(A131="","",ROUND(C131*$B$5,2))</f>
        <v/>
      </c>
      <c r="E131" s="6" t="str">
        <f>IF(A131="","",MIN($B$6+$B$7,C131+D131))</f>
        <v/>
      </c>
      <c r="F131" s="6" t="str">
        <f>IF(A131="","",E131-D131)</f>
        <v/>
      </c>
      <c r="G131" s="17" t="str">
        <f>IF(A131="","",ROUND(C131+D131-E131,2))</f>
        <v/>
      </c>
    </row>
  </sheetData>
  <dataValidations count="1">
    <dataValidation type="list" sqref="B3">
      <formula1>'Borçlar'!$A$2:$A$16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</sheetPr>
  <dimension ref="A1:E28"/>
  <sheetFormatPr defaultRowHeight="15" outlineLevelRow="0" outlineLevelCol="0" x14ac:dyDescent="55"/>
  <cols>
    <col min="1" max="1" width="34" customWidth="1"/>
    <col min="2" max="2" width="24" customWidth="1"/>
    <col min="3" max="5" width="16" customWidth="1"/>
  </cols>
  <sheetData>
    <row r="1" spans="1:1" x14ac:dyDescent="0.25">
      <c r="A1" s="10" t="s">
        <v>39</v>
      </c>
    </row>
    <row r="3" spans="1:2" x14ac:dyDescent="0.25">
      <c r="A3" s="11" t="s">
        <v>40</v>
      </c>
      <c r="B3" s="17">
        <f>SUM('Borçlar'!$C$2:$C$16)</f>
        <v>171700</v>
      </c>
    </row>
    <row r="4" spans="1:2" x14ac:dyDescent="0.25">
      <c r="A4" s="11" t="s">
        <v>41</v>
      </c>
      <c r="B4" s="17">
        <f>SUM('Borçlar'!$E$2:$E$16)</f>
        <v>18420</v>
      </c>
    </row>
    <row r="5" spans="1:2" x14ac:dyDescent="0.25">
      <c r="A5" s="11" t="s">
        <v>7</v>
      </c>
      <c r="B5" s="6">
        <f>SUM('Borçlar'!$H$2:$H$16)</f>
        <v>5111.45</v>
      </c>
    </row>
    <row r="6" spans="1:2" x14ac:dyDescent="0.25">
      <c r="A6" s="11" t="s">
        <v>8</v>
      </c>
      <c r="B6" s="6">
        <f>B4-B5</f>
        <v>13308.55</v>
      </c>
    </row>
    <row r="7" spans="1:2" x14ac:dyDescent="0.25">
      <c r="A7" s="11" t="s">
        <v>42</v>
      </c>
      <c r="B7" s="16">
        <f>IF(N(B3)=0,0,SUMPRODUCT('Borçlar'!$C$2:$C$16,'Borçlar'!$D$2:$D$16)/B3)</f>
        <v>0.029769656377</v>
      </c>
    </row>
    <row r="8" spans="1:2" x14ac:dyDescent="0.25">
      <c r="A8" s="11" t="s">
        <v>43</v>
      </c>
      <c r="B8" s="3">
        <v>45000</v>
      </c>
    </row>
    <row r="9" spans="1:2" x14ac:dyDescent="0.25">
      <c r="A9" s="11" t="s">
        <v>44</v>
      </c>
      <c r="B9" s="21">
        <f>IF(N(B8)=0,"",B4/B8)</f>
        <v>0.40933333333</v>
      </c>
    </row>
    <row r="11" spans="1:1" x14ac:dyDescent="0.25">
      <c r="A11" s="22" t="s">
        <v>45</v>
      </c>
    </row>
    <row r="12" spans="1:1" x14ac:dyDescent="0.25">
      <c r="A12" s="9" t="s">
        <v>46</v>
      </c>
    </row>
    <row r="13" spans="1:5" x14ac:dyDescent="0.25">
      <c r="A13" s="1" t="s">
        <v>47</v>
      </c>
      <c r="B13" s="1" t="s">
        <v>22</v>
      </c>
      <c r="C13" s="1" t="s">
        <v>25</v>
      </c>
      <c r="D13" s="1" t="s">
        <v>2</v>
      </c>
      <c r="E13" s="1" t="s">
        <v>27</v>
      </c>
    </row>
    <row r="14" spans="1:5" x14ac:dyDescent="0.25">
      <c r="A14" s="20">
        <f>IF(B14="","",1)</f>
        <v>1</v>
      </c>
      <c r="B14" s="23" t="str">
        <f>IFERROR(INDEX('Borçlar'!$A$2:$A$16,MATCH(1,'Borçlar'!$K$2:$K$16,0)),"")</f>
        <v>Kredi kartı A</v>
      </c>
      <c r="C14" s="16">
        <f>IF(B14="","",INDEX('Borçlar'!$D$2:$D$16,MATCH(1,'Borçlar'!$K$2:$K$16,0)))</f>
        <v>0.0425</v>
      </c>
      <c r="D14" s="6">
        <f>IF(B14="","",INDEX('Borçlar'!$C$2:$C$16,MATCH(1,'Borçlar'!$K$2:$K$16,0)))</f>
        <v>38500</v>
      </c>
      <c r="E14" s="6">
        <f>IF(B14="","",INDEX('Borçlar'!$E$2:$E$16,MATCH(1,'Borçlar'!$K$2:$K$16,0)))</f>
        <v>6000</v>
      </c>
    </row>
    <row r="15" spans="1:5" x14ac:dyDescent="0.25">
      <c r="A15" s="20">
        <f>IF(B15="","",2)</f>
        <v>2</v>
      </c>
      <c r="B15" s="24" t="str">
        <f>IFERROR(INDEX('Borçlar'!$A$2:$A$16,MATCH(2,'Borçlar'!$K$2:$K$16,0)),"")</f>
        <v>Kredi kartı B</v>
      </c>
      <c r="C15" s="16">
        <f>IF(B15="","",INDEX('Borçlar'!$D$2:$D$16,MATCH(2,'Borçlar'!$K$2:$K$16,0)))</f>
        <v>0.039</v>
      </c>
      <c r="D15" s="6">
        <f>IF(B15="","",INDEX('Borçlar'!$C$2:$C$16,MATCH(2,'Borçlar'!$K$2:$K$16,0)))</f>
        <v>12800</v>
      </c>
      <c r="E15" s="6">
        <f>IF(B15="","",INDEX('Borçlar'!$E$2:$E$16,MATCH(2,'Borçlar'!$K$2:$K$16,0)))</f>
        <v>2500</v>
      </c>
    </row>
    <row r="16" spans="1:5" x14ac:dyDescent="0.25">
      <c r="A16" s="20">
        <f>IF(B16="","",3)</f>
        <v>3</v>
      </c>
      <c r="B16" s="24" t="str">
        <f>IFERROR(INDEX('Borçlar'!$A$2:$A$16,MATCH(3,'Borçlar'!$K$2:$K$16,0)),"")</f>
        <v>İhtiyaç kredisi</v>
      </c>
      <c r="C16" s="16">
        <f>IF(B16="","",INDEX('Borçlar'!$D$2:$D$16,MATCH(3,'Borçlar'!$K$2:$K$16,0)))</f>
        <v>0.031</v>
      </c>
      <c r="D16" s="6">
        <f>IF(B16="","",INDEX('Borçlar'!$C$2:$C$16,MATCH(3,'Borçlar'!$K$2:$K$16,0)))</f>
        <v>96000</v>
      </c>
      <c r="E16" s="6">
        <f>IF(B16="","",INDEX('Borçlar'!$E$2:$E$16,MATCH(3,'Borçlar'!$K$2:$K$16,0)))</f>
        <v>6520</v>
      </c>
    </row>
    <row r="17" spans="1:5" x14ac:dyDescent="0.25">
      <c r="A17" s="20">
        <f>IF(B17="","",4)</f>
        <v>4</v>
      </c>
      <c r="B17" s="24" t="str">
        <f>IFERROR(INDEX('Borçlar'!$A$2:$A$16,MATCH(4,'Borçlar'!$K$2:$K$16,0)),"")</f>
        <v>Telefon taksiti</v>
      </c>
      <c r="C17" s="16">
        <f>IF(B17="","",INDEX('Borçlar'!$D$2:$D$16,MATCH(4,'Borçlar'!$K$2:$K$16,0)))</f>
        <v>0</v>
      </c>
      <c r="D17" s="6">
        <f>IF(B17="","",INDEX('Borçlar'!$C$2:$C$16,MATCH(4,'Borçlar'!$K$2:$K$16,0)))</f>
        <v>14400</v>
      </c>
      <c r="E17" s="6">
        <f>IF(B17="","",INDEX('Borçlar'!$E$2:$E$16,MATCH(4,'Borçlar'!$K$2:$K$16,0)))</f>
        <v>2400</v>
      </c>
    </row>
    <row r="18" spans="1:5" x14ac:dyDescent="0.25">
      <c r="A18" s="20">
        <f>IF(B18="","",5)</f>
        <v>5</v>
      </c>
      <c r="B18" s="24" t="str">
        <f>IFERROR(INDEX('Borçlar'!$A$2:$A$16,MATCH(5,'Borçlar'!$K$2:$K$16,0)),"")</f>
        <v>Emre (elden borç)</v>
      </c>
      <c r="C18" s="16">
        <f>IF(B18="","",INDEX('Borçlar'!$D$2:$D$16,MATCH(5,'Borçlar'!$K$2:$K$16,0)))</f>
        <v>0</v>
      </c>
      <c r="D18" s="6">
        <f>IF(B18="","",INDEX('Borçlar'!$C$2:$C$16,MATCH(5,'Borçlar'!$K$2:$K$16,0)))</f>
        <v>10000</v>
      </c>
      <c r="E18" s="6">
        <f>IF(B18="","",INDEX('Borçlar'!$E$2:$E$16,MATCH(5,'Borçlar'!$K$2:$K$16,0)))</f>
        <v>1000</v>
      </c>
    </row>
    <row r="19" spans="1:5" x14ac:dyDescent="0.25">
      <c r="A19" s="20" t="str">
        <f>IF(B19="","",6)</f>
        <v/>
      </c>
      <c r="B19" s="24" t="str">
        <f>IFERROR(INDEX('Borçlar'!$A$2:$A$16,MATCH(6,'Borçlar'!$K$2:$K$16,0)),"")</f>
        <v/>
      </c>
      <c r="C19" s="16" t="str">
        <f>IF(B19="","",INDEX('Borçlar'!$D$2:$D$16,MATCH(6,'Borçlar'!$K$2:$K$16,0)))</f>
        <v/>
      </c>
      <c r="D19" s="6" t="str">
        <f>IF(B19="","",INDEX('Borçlar'!$C$2:$C$16,MATCH(6,'Borçlar'!$K$2:$K$16,0)))</f>
        <v/>
      </c>
      <c r="E19" s="6" t="str">
        <f>IF(B19="","",INDEX('Borçlar'!$E$2:$E$16,MATCH(6,'Borçlar'!$K$2:$K$16,0)))</f>
        <v/>
      </c>
    </row>
    <row r="20" spans="1:5" x14ac:dyDescent="0.25">
      <c r="A20" s="20" t="str">
        <f>IF(B20="","",7)</f>
        <v/>
      </c>
      <c r="B20" s="24" t="str">
        <f>IFERROR(INDEX('Borçlar'!$A$2:$A$16,MATCH(7,'Borçlar'!$K$2:$K$16,0)),"")</f>
        <v/>
      </c>
      <c r="C20" s="16" t="str">
        <f>IF(B20="","",INDEX('Borçlar'!$D$2:$D$16,MATCH(7,'Borçlar'!$K$2:$K$16,0)))</f>
        <v/>
      </c>
      <c r="D20" s="6" t="str">
        <f>IF(B20="","",INDEX('Borçlar'!$C$2:$C$16,MATCH(7,'Borçlar'!$K$2:$K$16,0)))</f>
        <v/>
      </c>
      <c r="E20" s="6" t="str">
        <f>IF(B20="","",INDEX('Borçlar'!$E$2:$E$16,MATCH(7,'Borçlar'!$K$2:$K$16,0)))</f>
        <v/>
      </c>
    </row>
    <row r="21" spans="1:5" x14ac:dyDescent="0.25">
      <c r="A21" s="20" t="str">
        <f>IF(B21="","",8)</f>
        <v/>
      </c>
      <c r="B21" s="24" t="str">
        <f>IFERROR(INDEX('Borçlar'!$A$2:$A$16,MATCH(8,'Borçlar'!$K$2:$K$16,0)),"")</f>
        <v/>
      </c>
      <c r="C21" s="16" t="str">
        <f>IF(B21="","",INDEX('Borçlar'!$D$2:$D$16,MATCH(8,'Borçlar'!$K$2:$K$16,0)))</f>
        <v/>
      </c>
      <c r="D21" s="6" t="str">
        <f>IF(B21="","",INDEX('Borçlar'!$C$2:$C$16,MATCH(8,'Borçlar'!$K$2:$K$16,0)))</f>
        <v/>
      </c>
      <c r="E21" s="6" t="str">
        <f>IF(B21="","",INDEX('Borçlar'!$E$2:$E$16,MATCH(8,'Borçlar'!$K$2:$K$16,0)))</f>
        <v/>
      </c>
    </row>
    <row r="22" spans="1:5" x14ac:dyDescent="0.25">
      <c r="A22" s="20" t="str">
        <f>IF(B22="","",9)</f>
        <v/>
      </c>
      <c r="B22" s="24" t="str">
        <f>IFERROR(INDEX('Borçlar'!$A$2:$A$16,MATCH(9,'Borçlar'!$K$2:$K$16,0)),"")</f>
        <v/>
      </c>
      <c r="C22" s="16" t="str">
        <f>IF(B22="","",INDEX('Borçlar'!$D$2:$D$16,MATCH(9,'Borçlar'!$K$2:$K$16,0)))</f>
        <v/>
      </c>
      <c r="D22" s="6" t="str">
        <f>IF(B22="","",INDEX('Borçlar'!$C$2:$C$16,MATCH(9,'Borçlar'!$K$2:$K$16,0)))</f>
        <v/>
      </c>
      <c r="E22" s="6" t="str">
        <f>IF(B22="","",INDEX('Borçlar'!$E$2:$E$16,MATCH(9,'Borçlar'!$K$2:$K$16,0)))</f>
        <v/>
      </c>
    </row>
    <row r="23" spans="1:5" x14ac:dyDescent="0.25">
      <c r="A23" s="20" t="str">
        <f>IF(B23="","",10)</f>
        <v/>
      </c>
      <c r="B23" s="24" t="str">
        <f>IFERROR(INDEX('Borçlar'!$A$2:$A$16,MATCH(10,'Borçlar'!$K$2:$K$16,0)),"")</f>
        <v/>
      </c>
      <c r="C23" s="16" t="str">
        <f>IF(B23="","",INDEX('Borçlar'!$D$2:$D$16,MATCH(10,'Borçlar'!$K$2:$K$16,0)))</f>
        <v/>
      </c>
      <c r="D23" s="6" t="str">
        <f>IF(B23="","",INDEX('Borçlar'!$C$2:$C$16,MATCH(10,'Borçlar'!$K$2:$K$16,0)))</f>
        <v/>
      </c>
      <c r="E23" s="6" t="str">
        <f>IF(B23="","",INDEX('Borçlar'!$E$2:$E$16,MATCH(10,'Borçlar'!$K$2:$K$16,0)))</f>
        <v/>
      </c>
    </row>
    <row r="24" spans="1:5" x14ac:dyDescent="0.25">
      <c r="A24" s="20" t="str">
        <f>IF(B24="","",11)</f>
        <v/>
      </c>
      <c r="B24" s="24" t="str">
        <f>IFERROR(INDEX('Borçlar'!$A$2:$A$16,MATCH(11,'Borçlar'!$K$2:$K$16,0)),"")</f>
        <v/>
      </c>
      <c r="C24" s="16" t="str">
        <f>IF(B24="","",INDEX('Borçlar'!$D$2:$D$16,MATCH(11,'Borçlar'!$K$2:$K$16,0)))</f>
        <v/>
      </c>
      <c r="D24" s="6" t="str">
        <f>IF(B24="","",INDEX('Borçlar'!$C$2:$C$16,MATCH(11,'Borçlar'!$K$2:$K$16,0)))</f>
        <v/>
      </c>
      <c r="E24" s="6" t="str">
        <f>IF(B24="","",INDEX('Borçlar'!$E$2:$E$16,MATCH(11,'Borçlar'!$K$2:$K$16,0)))</f>
        <v/>
      </c>
    </row>
    <row r="25" spans="1:5" x14ac:dyDescent="0.25">
      <c r="A25" s="20" t="str">
        <f>IF(B25="","",12)</f>
        <v/>
      </c>
      <c r="B25" s="24" t="str">
        <f>IFERROR(INDEX('Borçlar'!$A$2:$A$16,MATCH(12,'Borçlar'!$K$2:$K$16,0)),"")</f>
        <v/>
      </c>
      <c r="C25" s="16" t="str">
        <f>IF(B25="","",INDEX('Borçlar'!$D$2:$D$16,MATCH(12,'Borçlar'!$K$2:$K$16,0)))</f>
        <v/>
      </c>
      <c r="D25" s="6" t="str">
        <f>IF(B25="","",INDEX('Borçlar'!$C$2:$C$16,MATCH(12,'Borçlar'!$K$2:$K$16,0)))</f>
        <v/>
      </c>
      <c r="E25" s="6" t="str">
        <f>IF(B25="","",INDEX('Borçlar'!$E$2:$E$16,MATCH(12,'Borçlar'!$K$2:$K$16,0)))</f>
        <v/>
      </c>
    </row>
    <row r="26" spans="1:5" x14ac:dyDescent="0.25">
      <c r="A26" s="20" t="str">
        <f>IF(B26="","",13)</f>
        <v/>
      </c>
      <c r="B26" s="24" t="str">
        <f>IFERROR(INDEX('Borçlar'!$A$2:$A$16,MATCH(13,'Borçlar'!$K$2:$K$16,0)),"")</f>
        <v/>
      </c>
      <c r="C26" s="16" t="str">
        <f>IF(B26="","",INDEX('Borçlar'!$D$2:$D$16,MATCH(13,'Borçlar'!$K$2:$K$16,0)))</f>
        <v/>
      </c>
      <c r="D26" s="6" t="str">
        <f>IF(B26="","",INDEX('Borçlar'!$C$2:$C$16,MATCH(13,'Borçlar'!$K$2:$K$16,0)))</f>
        <v/>
      </c>
      <c r="E26" s="6" t="str">
        <f>IF(B26="","",INDEX('Borçlar'!$E$2:$E$16,MATCH(13,'Borçlar'!$K$2:$K$16,0)))</f>
        <v/>
      </c>
    </row>
    <row r="27" spans="1:5" x14ac:dyDescent="0.25">
      <c r="A27" s="20" t="str">
        <f>IF(B27="","",14)</f>
        <v/>
      </c>
      <c r="B27" s="24" t="str">
        <f>IFERROR(INDEX('Borçlar'!$A$2:$A$16,MATCH(14,'Borçlar'!$K$2:$K$16,0)),"")</f>
        <v/>
      </c>
      <c r="C27" s="16" t="str">
        <f>IF(B27="","",INDEX('Borçlar'!$D$2:$D$16,MATCH(14,'Borçlar'!$K$2:$K$16,0)))</f>
        <v/>
      </c>
      <c r="D27" s="6" t="str">
        <f>IF(B27="","",INDEX('Borçlar'!$C$2:$C$16,MATCH(14,'Borçlar'!$K$2:$K$16,0)))</f>
        <v/>
      </c>
      <c r="E27" s="6" t="str">
        <f>IF(B27="","",INDEX('Borçlar'!$E$2:$E$16,MATCH(14,'Borçlar'!$K$2:$K$16,0)))</f>
        <v/>
      </c>
    </row>
    <row r="28" spans="1:5" x14ac:dyDescent="0.25">
      <c r="A28" s="20" t="str">
        <f>IF(B28="","",15)</f>
        <v/>
      </c>
      <c r="B28" s="24" t="str">
        <f>IFERROR(INDEX('Borçlar'!$A$2:$A$16,MATCH(15,'Borçlar'!$K$2:$K$16,0)),"")</f>
        <v/>
      </c>
      <c r="C28" s="16" t="str">
        <f>IF(B28="","",INDEX('Borçlar'!$D$2:$D$16,MATCH(15,'Borçlar'!$K$2:$K$16,0)))</f>
        <v/>
      </c>
      <c r="D28" s="6" t="str">
        <f>IF(B28="","",INDEX('Borçlar'!$C$2:$C$16,MATCH(15,'Borçlar'!$K$2:$K$16,0)))</f>
        <v/>
      </c>
      <c r="E28" s="6" t="str">
        <f>IF(B28="","",INDEX('Borçlar'!$E$2:$E$16,MATCH(15,'Borçlar'!$K$2:$K$16,0)))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25" t="s">
        <v>48</v>
      </c>
    </row>
    <row r="2" spans="1:1" x14ac:dyDescent="0.25">
      <c r="A2" s="26" t="s">
        <v>49</v>
      </c>
    </row>
    <row r="3" spans="1:1" x14ac:dyDescent="0.25">
      <c r="A3" s="26" t="s">
        <v>50</v>
      </c>
    </row>
    <row r="4" spans="1:1" x14ac:dyDescent="0.25">
      <c r="A4" s="26" t="s">
        <v>51</v>
      </c>
    </row>
    <row r="5" spans="1:1" x14ac:dyDescent="0.25">
      <c r="A5" s="26" t="s">
        <v>52</v>
      </c>
    </row>
    <row r="6" spans="1:1" x14ac:dyDescent="0.25">
      <c r="A6" s="26" t="s">
        <v>53</v>
      </c>
    </row>
    <row r="7" spans="1:1" x14ac:dyDescent="0.25">
      <c r="A7" s="26" t="s">
        <v>54</v>
      </c>
    </row>
    <row r="8" spans="1:1" x14ac:dyDescent="0.25">
      <c r="A8" s="26" t="s">
        <v>49</v>
      </c>
    </row>
    <row r="9" spans="1:1" x14ac:dyDescent="0.25">
      <c r="A9" s="27" t="s">
        <v>55</v>
      </c>
    </row>
    <row r="10" spans="1:1" x14ac:dyDescent="0.25">
      <c r="A10" s="27" t="s">
        <v>56</v>
      </c>
    </row>
    <row r="11" spans="1:1" x14ac:dyDescent="0.25">
      <c r="A11" s="27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Borçlar</vt:lpstr>
      <vt:lpstr>Ödeme Planı</vt:lpstr>
      <vt:lpstr>Özet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Kişisel Muhasebe — kisiselmuhasebe.com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2026-10-03T16:21:14Z</dcterms:modified>
</cp:coreProperties>
</file>